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charts/chart6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 codeName="{91AB8045-AFC0-B76E-F17D-A240E00664A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nbl\Downloads\"/>
    </mc:Choice>
  </mc:AlternateContent>
  <xr:revisionPtr revIDLastSave="0" documentId="13_ncr:1_{2E8B23D2-CF37-4E01-8863-363B4398FA1A}" xr6:coauthVersionLast="45" xr6:coauthVersionMax="45" xr10:uidLastSave="{00000000-0000-0000-0000-000000000000}"/>
  <bookViews>
    <workbookView xWindow="-108" yWindow="-108" windowWidth="23256" windowHeight="12576" tabRatio="491" activeTab="1" xr2:uid="{00000000-000D-0000-FFFF-FFFF00000000}"/>
  </bookViews>
  <sheets>
    <sheet name="Données " sheetId="1" r:id="rId1"/>
    <sheet name="Structure PRP" sheetId="37" r:id="rId2"/>
  </sheets>
  <externalReferences>
    <externalReference r:id="rId3"/>
    <externalReference r:id="rId4"/>
  </externalReferences>
  <definedNames>
    <definedName name="_xlnm._FilterDatabase" localSheetId="0" hidden="1">'Données '!$A$1:$HX$169</definedName>
    <definedName name="Annee_Inaug">'Données '!$EM$2:$EM$153</definedName>
    <definedName name="Annee_OS">'Données '!$CY$2:$CY$153</definedName>
    <definedName name="Arrêté_LBU">'Données '!$BK$2:$BK$153</definedName>
    <definedName name="Ass">'Données '!$G$2:$G$153</definedName>
    <definedName name="AUTRES_SUB">'Données '!$GR$2:$GR$153</definedName>
    <definedName name="Avancement">'Données '!$H$2:$H$153</definedName>
    <definedName name="Bdgt">'Données '!#REF!</definedName>
    <definedName name="CAF">'Données '!$GN$2:$GN$153</definedName>
    <definedName name="CDC_LLTS_foncier">'Données '!$V$160</definedName>
    <definedName name="CI">'Données '!$GE$2:$GE$153</definedName>
    <definedName name="Communes">#REF!</definedName>
    <definedName name="Dde_LBU">'Données '!$BJ$2:$BJ$153</definedName>
    <definedName name="Dde_prêt">'Données '!$BO$2:$BO$153</definedName>
    <definedName name="Délai_LBU">'Données '!$BM$2:$BM$153</definedName>
    <definedName name="Délai_prêt">'Données '!$BQ$2:$BQ$153</definedName>
    <definedName name="Ecart_DEAL_OS">'Données '!$CZ$2:$CZ$153</definedName>
    <definedName name="Fonds_propres">'Données '!$HC$2:$HC$153</definedName>
    <definedName name="_xlnm.Print_Titles" localSheetId="0">'Données '!$A:$A,'Données '!$1:$1</definedName>
    <definedName name="LBU">'Données '!#REF!</definedName>
    <definedName name="LBU_obtenue">'Données '!$GM$2:$GM$153</definedName>
    <definedName name="Liste_Ass">#REF!</definedName>
    <definedName name="Liste_RO">#REF!</definedName>
    <definedName name="Livraison">'Données '!$EL$2:$EL$153</definedName>
    <definedName name="LLS">'Données '!$AF$23:$AF$153</definedName>
    <definedName name="LLTS">'Données '!$AG$23:$AG$153</definedName>
    <definedName name="LMDom" localSheetId="0">'Données '!$E$94</definedName>
    <definedName name="Loyers">'Données '!$EP$2:$EP$153</definedName>
    <definedName name="Nlgts">'Données '!$AD$2:$AD$153</definedName>
    <definedName name="Nlgts_hors_rehab">'Données '!$AE$2:$AE$153</definedName>
    <definedName name="Notaire">'Données '!#REF!</definedName>
    <definedName name="Obj_Livraison2020">#REF!</definedName>
    <definedName name="Obj_OS2020">#REF!</definedName>
    <definedName name="OS">'Données '!$CX$2:$CX$153</definedName>
    <definedName name="PEEC">'Données '!$GL$2:$GL$153</definedName>
    <definedName name="Phases">#REF!</definedName>
    <definedName name="PRET">'Données '!$GH$2:$GH$153</definedName>
    <definedName name="Prix_Achat_TTC">'Données '!$BB$2:$BB$153</definedName>
    <definedName name="Prog">'Données '!$D$2:$D$153</definedName>
    <definedName name="PRP">'Données '!$FZ$2:$FZ$153</definedName>
    <definedName name="Px_Foncier">'Données '!$P$2:$P$153</definedName>
    <definedName name="Retard_loyer">'Données '!$EN$2:$EN$153</definedName>
    <definedName name="Retard_VEFA">'Données '!#REF!</definedName>
    <definedName name="RO">'Données '!$F$2:$F$153</definedName>
    <definedName name="S_TERRAIN">'Données '!$O$2:$O$153</definedName>
    <definedName name="SF">'Données '!$AK$2:$AK$153</definedName>
    <definedName name="SF_VEFA">'Données '!#REF!</definedName>
    <definedName name="SHAB_VEFA">'Données '!$AJ$2:$AJ$153</definedName>
    <definedName name="Type">'Données '!$AC$2:$AC$153</definedName>
    <definedName name="Ville">'Données '!$B$2:$B$153</definedName>
    <definedName name="_xlnm.Print_Area" localSheetId="0">'Données '!$A$1:$HX$264</definedName>
  </definedNames>
  <calcPr calcId="191029"/>
  <pivotCaches>
    <pivotCache cacheId="35" r:id="rId5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4" i="37" l="1"/>
  <c r="E5" i="37"/>
  <c r="E6" i="37"/>
  <c r="E7" i="37"/>
  <c r="E8" i="37"/>
  <c r="E9" i="37"/>
  <c r="E10" i="37"/>
  <c r="E11" i="37"/>
  <c r="E12" i="37"/>
  <c r="E13" i="37"/>
  <c r="E14" i="37"/>
  <c r="EL69" i="1" l="1"/>
  <c r="F13" i="37"/>
  <c r="F14" i="37"/>
  <c r="CJ80" i="1" l="1"/>
  <c r="EQ71" i="1" l="1"/>
  <c r="EQ75" i="1" l="1"/>
  <c r="EQ69" i="1"/>
  <c r="EQ65" i="1"/>
  <c r="EQ73" i="1"/>
  <c r="EQ61" i="1"/>
  <c r="EQ70" i="1"/>
  <c r="EQ64" i="1"/>
  <c r="EQ74" i="1"/>
  <c r="FI16" i="1" l="1"/>
  <c r="FI50" i="1"/>
  <c r="FI46" i="1"/>
  <c r="FI37" i="1"/>
  <c r="FI35" i="1"/>
  <c r="FI33" i="1"/>
  <c r="FI32" i="1"/>
  <c r="FI134" i="1"/>
  <c r="FI44" i="1"/>
  <c r="CZ30" i="1"/>
  <c r="DA30" i="1"/>
  <c r="DC30" i="1"/>
  <c r="DF30" i="1"/>
  <c r="DI30" i="1"/>
  <c r="DK30" i="1"/>
  <c r="DL30" i="1" s="1"/>
  <c r="DN30" i="1"/>
  <c r="DO30" i="1" s="1"/>
  <c r="DQ30" i="1"/>
  <c r="DR30" i="1" s="1"/>
  <c r="DT30" i="1"/>
  <c r="DU30" i="1" s="1"/>
  <c r="DW30" i="1"/>
  <c r="DX30" i="1" s="1"/>
  <c r="EB30" i="1"/>
  <c r="ED30" i="1" s="1"/>
  <c r="EE30" i="1"/>
  <c r="EF30" i="1"/>
  <c r="CZ58" i="1"/>
  <c r="DA58" i="1"/>
  <c r="DC58" i="1"/>
  <c r="DE58" i="1"/>
  <c r="DF58" i="1" s="1"/>
  <c r="DH58" i="1"/>
  <c r="DI58" i="1" s="1"/>
  <c r="DK58" i="1"/>
  <c r="DL58" i="1" s="1"/>
  <c r="DN58" i="1"/>
  <c r="DO58" i="1" s="1"/>
  <c r="DR58" i="1"/>
  <c r="DT58" i="1"/>
  <c r="DU58" i="1" s="1"/>
  <c r="DW58" i="1"/>
  <c r="DX58" i="1" s="1"/>
  <c r="EB58" i="1"/>
  <c r="EK58" i="1" s="1"/>
  <c r="EE58" i="1"/>
  <c r="CZ59" i="1"/>
  <c r="DA59" i="1"/>
  <c r="DC59" i="1"/>
  <c r="DE59" i="1"/>
  <c r="DF59" i="1" s="1"/>
  <c r="DH59" i="1"/>
  <c r="DI59" i="1" s="1"/>
  <c r="DK59" i="1"/>
  <c r="DL59" i="1" s="1"/>
  <c r="DN59" i="1"/>
  <c r="DO59" i="1" s="1"/>
  <c r="DR59" i="1"/>
  <c r="DT59" i="1"/>
  <c r="DU59" i="1" s="1"/>
  <c r="DW59" i="1"/>
  <c r="DX59" i="1" s="1"/>
  <c r="EB59" i="1"/>
  <c r="ED59" i="1" s="1"/>
  <c r="EE59" i="1"/>
  <c r="CZ60" i="1"/>
  <c r="DA60" i="1"/>
  <c r="DC60" i="1"/>
  <c r="DE60" i="1"/>
  <c r="DF60" i="1" s="1"/>
  <c r="DH60" i="1"/>
  <c r="DI60" i="1" s="1"/>
  <c r="DK60" i="1"/>
  <c r="DL60" i="1" s="1"/>
  <c r="DN60" i="1"/>
  <c r="DO60" i="1" s="1"/>
  <c r="DR60" i="1"/>
  <c r="DT60" i="1"/>
  <c r="DU60" i="1" s="1"/>
  <c r="DW60" i="1"/>
  <c r="DX60" i="1" s="1"/>
  <c r="EB60" i="1"/>
  <c r="EK60" i="1" s="1"/>
  <c r="EE60" i="1"/>
  <c r="CZ61" i="1"/>
  <c r="DA61" i="1"/>
  <c r="DC61" i="1"/>
  <c r="DF61" i="1"/>
  <c r="DI61" i="1"/>
  <c r="DK61" i="1"/>
  <c r="DL61" i="1" s="1"/>
  <c r="DN61" i="1"/>
  <c r="DO61" i="1" s="1"/>
  <c r="DQ61" i="1"/>
  <c r="DR61" i="1" s="1"/>
  <c r="DT61" i="1"/>
  <c r="DU61" i="1" s="1"/>
  <c r="DW61" i="1"/>
  <c r="DX61" i="1" s="1"/>
  <c r="EB61" i="1"/>
  <c r="ED61" i="1" s="1"/>
  <c r="EE61" i="1"/>
  <c r="EF61" i="1"/>
  <c r="CZ62" i="1"/>
  <c r="DA62" i="1"/>
  <c r="DC62" i="1"/>
  <c r="DE62" i="1"/>
  <c r="DF62" i="1" s="1"/>
  <c r="DH62" i="1"/>
  <c r="DI62" i="1" s="1"/>
  <c r="DK62" i="1"/>
  <c r="DL62" i="1" s="1"/>
  <c r="DN62" i="1"/>
  <c r="DO62" i="1" s="1"/>
  <c r="DR62" i="1"/>
  <c r="DT62" i="1"/>
  <c r="DU62" i="1" s="1"/>
  <c r="DW62" i="1"/>
  <c r="DX62" i="1" s="1"/>
  <c r="EB62" i="1"/>
  <c r="EK62" i="1" s="1"/>
  <c r="EE62" i="1"/>
  <c r="CZ63" i="1"/>
  <c r="DA63" i="1"/>
  <c r="DC63" i="1"/>
  <c r="DE63" i="1"/>
  <c r="DF63" i="1" s="1"/>
  <c r="DH63" i="1"/>
  <c r="EF63" i="1" s="1"/>
  <c r="DK63" i="1"/>
  <c r="DL63" i="1" s="1"/>
  <c r="DN63" i="1"/>
  <c r="DO63" i="1" s="1"/>
  <c r="DR63" i="1"/>
  <c r="DT63" i="1"/>
  <c r="DU63" i="1" s="1"/>
  <c r="DW63" i="1"/>
  <c r="DX63" i="1" s="1"/>
  <c r="EB63" i="1"/>
  <c r="ED63" i="1" s="1"/>
  <c r="EE63" i="1"/>
  <c r="CZ64" i="1"/>
  <c r="DA64" i="1"/>
  <c r="DC64" i="1"/>
  <c r="DF64" i="1"/>
  <c r="DI64" i="1"/>
  <c r="DK64" i="1"/>
  <c r="DL64" i="1" s="1"/>
  <c r="DO64" i="1"/>
  <c r="DR64" i="1"/>
  <c r="DT64" i="1"/>
  <c r="DU64" i="1" s="1"/>
  <c r="DX64" i="1"/>
  <c r="EB64" i="1"/>
  <c r="ED64" i="1" s="1"/>
  <c r="EE64" i="1"/>
  <c r="EF64" i="1"/>
  <c r="CZ65" i="1"/>
  <c r="DA65" i="1"/>
  <c r="DC65" i="1"/>
  <c r="DF65" i="1"/>
  <c r="DI65" i="1"/>
  <c r="DK65" i="1"/>
  <c r="DL65" i="1" s="1"/>
  <c r="DO65" i="1"/>
  <c r="DR65" i="1"/>
  <c r="DT65" i="1"/>
  <c r="DU65" i="1" s="1"/>
  <c r="DX65" i="1"/>
  <c r="EB65" i="1"/>
  <c r="ED65" i="1" s="1"/>
  <c r="EE65" i="1"/>
  <c r="EF65" i="1"/>
  <c r="CZ66" i="1"/>
  <c r="DA66" i="1"/>
  <c r="DC66" i="1"/>
  <c r="DE66" i="1"/>
  <c r="DF66" i="1" s="1"/>
  <c r="DH66" i="1"/>
  <c r="DI66" i="1" s="1"/>
  <c r="DK66" i="1"/>
  <c r="DL66" i="1" s="1"/>
  <c r="DN66" i="1"/>
  <c r="DO66" i="1" s="1"/>
  <c r="DR66" i="1"/>
  <c r="DT66" i="1"/>
  <c r="DU66" i="1" s="1"/>
  <c r="DW66" i="1"/>
  <c r="DX66" i="1" s="1"/>
  <c r="ED66" i="1"/>
  <c r="EE66" i="1"/>
  <c r="EK66" i="1"/>
  <c r="CZ67" i="1"/>
  <c r="DA67" i="1"/>
  <c r="DE67" i="1"/>
  <c r="DF67" i="1" s="1"/>
  <c r="DH67" i="1"/>
  <c r="DI67" i="1" s="1"/>
  <c r="DK67" i="1"/>
  <c r="DL67" i="1" s="1"/>
  <c r="DN67" i="1"/>
  <c r="DO67" i="1" s="1"/>
  <c r="DR67" i="1"/>
  <c r="DT67" i="1"/>
  <c r="DU67" i="1" s="1"/>
  <c r="DW67" i="1"/>
  <c r="DX67" i="1" s="1"/>
  <c r="EB67" i="1"/>
  <c r="EC67" i="1" s="1"/>
  <c r="DC67" i="1" s="1"/>
  <c r="CZ68" i="1"/>
  <c r="DA68" i="1"/>
  <c r="DC68" i="1"/>
  <c r="DE68" i="1"/>
  <c r="DF68" i="1" s="1"/>
  <c r="DH68" i="1"/>
  <c r="DI68" i="1" s="1"/>
  <c r="DK68" i="1"/>
  <c r="DL68" i="1" s="1"/>
  <c r="DN68" i="1"/>
  <c r="DO68" i="1" s="1"/>
  <c r="DR68" i="1"/>
  <c r="DT68" i="1"/>
  <c r="DU68" i="1" s="1"/>
  <c r="DW68" i="1"/>
  <c r="DX68" i="1" s="1"/>
  <c r="EB68" i="1"/>
  <c r="ED68" i="1" s="1"/>
  <c r="EE68" i="1"/>
  <c r="CZ69" i="1"/>
  <c r="DA69" i="1"/>
  <c r="DE69" i="1"/>
  <c r="DF69" i="1" s="1"/>
  <c r="DI69" i="1"/>
  <c r="DK69" i="1"/>
  <c r="DL69" i="1" s="1"/>
  <c r="DN69" i="1"/>
  <c r="DO69" i="1" s="1"/>
  <c r="DQ69" i="1"/>
  <c r="DR69" i="1" s="1"/>
  <c r="DT69" i="1"/>
  <c r="DU69" i="1" s="1"/>
  <c r="DW69" i="1"/>
  <c r="DX69" i="1" s="1"/>
  <c r="EB69" i="1"/>
  <c r="EC69" i="1" s="1"/>
  <c r="EF69" i="1"/>
  <c r="CZ70" i="1"/>
  <c r="DA70" i="1"/>
  <c r="DE70" i="1"/>
  <c r="DF70" i="1" s="1"/>
  <c r="DH70" i="1"/>
  <c r="DI70" i="1" s="1"/>
  <c r="DK70" i="1"/>
  <c r="DL70" i="1" s="1"/>
  <c r="DN70" i="1"/>
  <c r="DO70" i="1" s="1"/>
  <c r="DQ70" i="1"/>
  <c r="DR70" i="1" s="1"/>
  <c r="DT70" i="1"/>
  <c r="DU70" i="1" s="1"/>
  <c r="DW70" i="1"/>
  <c r="DX70" i="1" s="1"/>
  <c r="EB70" i="1"/>
  <c r="EK70" i="1" s="1"/>
  <c r="CZ72" i="1"/>
  <c r="DA72" i="1"/>
  <c r="DC72" i="1"/>
  <c r="DE72" i="1"/>
  <c r="DF72" i="1" s="1"/>
  <c r="DH72" i="1"/>
  <c r="DI72" i="1" s="1"/>
  <c r="DK72" i="1"/>
  <c r="DL72" i="1" s="1"/>
  <c r="DN72" i="1"/>
  <c r="DO72" i="1" s="1"/>
  <c r="DR72" i="1"/>
  <c r="DT72" i="1"/>
  <c r="DU72" i="1" s="1"/>
  <c r="DW72" i="1"/>
  <c r="DX72" i="1" s="1"/>
  <c r="EB72" i="1"/>
  <c r="ED72" i="1" s="1"/>
  <c r="EE72" i="1"/>
  <c r="CZ71" i="1"/>
  <c r="DA71" i="1"/>
  <c r="DC71" i="1"/>
  <c r="DE71" i="1"/>
  <c r="DF71" i="1" s="1"/>
  <c r="DG71" i="1"/>
  <c r="DH71" i="1" s="1"/>
  <c r="EF71" i="1" s="1"/>
  <c r="DK71" i="1"/>
  <c r="DL71" i="1" s="1"/>
  <c r="DN71" i="1"/>
  <c r="DO71" i="1" s="1"/>
  <c r="DR71" i="1"/>
  <c r="DT71" i="1"/>
  <c r="DU71" i="1" s="1"/>
  <c r="DW71" i="1"/>
  <c r="DX71" i="1" s="1"/>
  <c r="EB71" i="1"/>
  <c r="ED71" i="1" s="1"/>
  <c r="EE71" i="1"/>
  <c r="CZ73" i="1"/>
  <c r="DA73" i="1"/>
  <c r="DE73" i="1"/>
  <c r="DF73" i="1" s="1"/>
  <c r="DI73" i="1"/>
  <c r="DK73" i="1"/>
  <c r="DL73" i="1" s="1"/>
  <c r="DN73" i="1"/>
  <c r="DO73" i="1" s="1"/>
  <c r="DR73" i="1"/>
  <c r="DT73" i="1"/>
  <c r="DU73" i="1" s="1"/>
  <c r="DW73" i="1"/>
  <c r="DX73" i="1" s="1"/>
  <c r="EB73" i="1"/>
  <c r="EC73" i="1" s="1"/>
  <c r="EF73" i="1"/>
  <c r="DE111" i="1"/>
  <c r="DF111" i="1" s="1"/>
  <c r="EB111" i="1"/>
  <c r="EL61" i="1"/>
  <c r="EN61" i="1" s="1"/>
  <c r="EL71" i="1"/>
  <c r="EL72" i="1"/>
  <c r="EL62" i="1"/>
  <c r="EL58" i="1"/>
  <c r="EL65" i="1"/>
  <c r="EL64" i="1"/>
  <c r="EL60" i="1"/>
  <c r="EL66" i="1"/>
  <c r="EL68" i="1"/>
  <c r="EK68" i="1" l="1"/>
  <c r="EC70" i="1"/>
  <c r="DC70" i="1" s="1"/>
  <c r="EK67" i="1"/>
  <c r="EK64" i="1"/>
  <c r="ED62" i="1"/>
  <c r="ED60" i="1"/>
  <c r="EK59" i="1"/>
  <c r="EK73" i="1"/>
  <c r="EK72" i="1"/>
  <c r="ED73" i="1"/>
  <c r="DC73" i="1"/>
  <c r="EE73" i="1"/>
  <c r="EK71" i="1"/>
  <c r="EK65" i="1"/>
  <c r="EF59" i="1"/>
  <c r="ED58" i="1"/>
  <c r="EK30" i="1"/>
  <c r="EF58" i="1"/>
  <c r="DI63" i="1"/>
  <c r="EF70" i="1"/>
  <c r="EF68" i="1"/>
  <c r="DI71" i="1"/>
  <c r="EE69" i="1"/>
  <c r="DC69" i="1"/>
  <c r="ED69" i="1"/>
  <c r="EK63" i="1"/>
  <c r="EK69" i="1"/>
  <c r="EF67" i="1"/>
  <c r="EF72" i="1"/>
  <c r="EE67" i="1"/>
  <c r="EF62" i="1"/>
  <c r="EF60" i="1"/>
  <c r="ED67" i="1"/>
  <c r="EF66" i="1"/>
  <c r="GR66" i="1"/>
  <c r="EE70" i="1" l="1"/>
  <c r="ED70" i="1"/>
  <c r="GR60" i="1"/>
  <c r="FZ60" i="1" s="1"/>
  <c r="GR63" i="1" l="1"/>
  <c r="GM162" i="1" l="1"/>
  <c r="GM163" i="1"/>
  <c r="GM164" i="1"/>
  <c r="GM165" i="1"/>
  <c r="GM166" i="1"/>
  <c r="GM167" i="1"/>
  <c r="GM168" i="1"/>
  <c r="GM169" i="1"/>
  <c r="GM161" i="1"/>
  <c r="CM80" i="1" l="1"/>
  <c r="EI35" i="1" l="1"/>
  <c r="EK35" i="1"/>
  <c r="EL35" i="1"/>
  <c r="FB73" i="1"/>
  <c r="AD101" i="1" l="1"/>
  <c r="AD63" i="1"/>
  <c r="AD62" i="1"/>
  <c r="AD70" i="1"/>
  <c r="AD60" i="1"/>
  <c r="AD19" i="1"/>
  <c r="AD20" i="1"/>
  <c r="AD89" i="1"/>
  <c r="AD16" i="1"/>
  <c r="AD66" i="1"/>
  <c r="AD67" i="1"/>
  <c r="AD28" i="1"/>
  <c r="AD103" i="1"/>
  <c r="AD68" i="1"/>
  <c r="AD71" i="1"/>
  <c r="AD76" i="1"/>
  <c r="AD113" i="1"/>
  <c r="AD80" i="1"/>
  <c r="AD81" i="1"/>
  <c r="AD82" i="1"/>
  <c r="AD29" i="1"/>
  <c r="AD83" i="1"/>
  <c r="AD108" i="1"/>
  <c r="AD109" i="1"/>
  <c r="AD118" i="1"/>
  <c r="AD56" i="1"/>
  <c r="AD99" i="1"/>
  <c r="AD93" i="1"/>
  <c r="AD112" i="1"/>
  <c r="AD114" i="1"/>
  <c r="AD111" i="1"/>
  <c r="AD91" i="1"/>
  <c r="AD110" i="1"/>
  <c r="AD21" i="1"/>
  <c r="AD85" i="1"/>
  <c r="AD86" i="1"/>
  <c r="AD22" i="1"/>
  <c r="AD87" i="1"/>
  <c r="AD105" i="1"/>
  <c r="AD106" i="1"/>
  <c r="AD97" i="1"/>
  <c r="BE97" i="1" s="1"/>
  <c r="AD61" i="1"/>
  <c r="AD115" i="1"/>
  <c r="AD116" i="1"/>
  <c r="AD117" i="1"/>
  <c r="AD72" i="1"/>
  <c r="AD107" i="1"/>
  <c r="AD55" i="1"/>
  <c r="AD119" i="1"/>
  <c r="AD120" i="1"/>
  <c r="AD121" i="1"/>
  <c r="AD122" i="1"/>
  <c r="AD123" i="1"/>
  <c r="AD124" i="1"/>
  <c r="AD125" i="1"/>
  <c r="AD129" i="1"/>
  <c r="AD128" i="1"/>
  <c r="AD131" i="1"/>
  <c r="AD127" i="1"/>
  <c r="AD126" i="1"/>
  <c r="AD130" i="1"/>
  <c r="AD132" i="1"/>
  <c r="AD136" i="1"/>
  <c r="AD133" i="1"/>
  <c r="AD33" i="1"/>
  <c r="AD137" i="1"/>
  <c r="AD135" i="1"/>
  <c r="AD140" i="1"/>
  <c r="AD46" i="1"/>
  <c r="AD37" i="1"/>
  <c r="AD31" i="1"/>
  <c r="AD52" i="1"/>
  <c r="AD53" i="1"/>
  <c r="AD50" i="1"/>
  <c r="AD138" i="1"/>
  <c r="AD32" i="1"/>
  <c r="AD139" i="1"/>
  <c r="AD143" i="1"/>
  <c r="AD142" i="1"/>
  <c r="AD144" i="1"/>
  <c r="AD146" i="1"/>
  <c r="AD147" i="1"/>
  <c r="AD148" i="1"/>
  <c r="AD149" i="1"/>
  <c r="AD152" i="1"/>
  <c r="AD35" i="1"/>
  <c r="AD150" i="1"/>
  <c r="AD151" i="1"/>
  <c r="AD141" i="1"/>
  <c r="AD98" i="1"/>
  <c r="AD39" i="1"/>
  <c r="AD57" i="1"/>
  <c r="AD74" i="1"/>
  <c r="AD75" i="1"/>
  <c r="AD96" i="1"/>
  <c r="AD78" i="1"/>
  <c r="AD79" i="1"/>
  <c r="AD92" i="1"/>
  <c r="AD94" i="1"/>
  <c r="AD95" i="1"/>
  <c r="AD2" i="1"/>
  <c r="AD3" i="1"/>
  <c r="AD4" i="1"/>
  <c r="AD5" i="1"/>
  <c r="AD6" i="1"/>
  <c r="AD7" i="1"/>
  <c r="AD30" i="1"/>
  <c r="AD8" i="1"/>
  <c r="AD9" i="1"/>
  <c r="AD10" i="1"/>
  <c r="AD34" i="1"/>
  <c r="AD44" i="1"/>
  <c r="AD15" i="1"/>
  <c r="AD17" i="1"/>
  <c r="AD26" i="1"/>
  <c r="AD47" i="1"/>
  <c r="AD42" i="1"/>
  <c r="AD11" i="1"/>
  <c r="AD51" i="1"/>
  <c r="AD49" i="1"/>
  <c r="AD84" i="1"/>
  <c r="AD90" i="1"/>
  <c r="AD14" i="1"/>
  <c r="AD100" i="1"/>
  <c r="AD134" i="1"/>
  <c r="AD48" i="1"/>
  <c r="AD40" i="1"/>
  <c r="AD45" i="1"/>
  <c r="AD104" i="1"/>
  <c r="AD38" i="1"/>
  <c r="AD69" i="1"/>
  <c r="AD13" i="1"/>
  <c r="AD12" i="1"/>
  <c r="AD77" i="1"/>
  <c r="AD41" i="1"/>
  <c r="AD24" i="1"/>
  <c r="AD23" i="1"/>
  <c r="AD64" i="1"/>
  <c r="AD43" i="1"/>
  <c r="AD36" i="1"/>
  <c r="AD65" i="1"/>
  <c r="AD25" i="1"/>
  <c r="AD88" i="1"/>
  <c r="AD73" i="1"/>
  <c r="AD102" i="1"/>
  <c r="AD18" i="1"/>
  <c r="AD59" i="1"/>
  <c r="AD58" i="1"/>
  <c r="U111" i="1" l="1"/>
  <c r="U108" i="1"/>
  <c r="U109" i="1"/>
  <c r="GJ101" i="1"/>
  <c r="GH101" i="1" s="1"/>
  <c r="AH160" i="1"/>
  <c r="BC116" i="1"/>
  <c r="BC122" i="1"/>
  <c r="BC115" i="1"/>
  <c r="BC121" i="1"/>
  <c r="BC117" i="1"/>
  <c r="BC123" i="1"/>
  <c r="GH55" i="1"/>
  <c r="FZ55" i="1" s="1"/>
  <c r="BC55" i="1"/>
  <c r="BD55" i="1"/>
  <c r="GB102" i="1"/>
  <c r="HK102" i="1" s="1"/>
  <c r="GB103" i="1"/>
  <c r="HJ103" i="1" s="1"/>
  <c r="HP103" i="1"/>
  <c r="GH103" i="1"/>
  <c r="FY103" i="1" s="1"/>
  <c r="EB103" i="1"/>
  <c r="EK103" i="1" s="1"/>
  <c r="DW103" i="1"/>
  <c r="DX103" i="1" s="1"/>
  <c r="DT103" i="1"/>
  <c r="DU103" i="1" s="1"/>
  <c r="DR103" i="1"/>
  <c r="DN103" i="1"/>
  <c r="DO103" i="1" s="1"/>
  <c r="DK103" i="1"/>
  <c r="DL103" i="1" s="1"/>
  <c r="DH103" i="1"/>
  <c r="DI103" i="1" s="1"/>
  <c r="DE103" i="1"/>
  <c r="DF103" i="1" s="1"/>
  <c r="DA103" i="1"/>
  <c r="CZ103" i="1"/>
  <c r="CV103" i="1"/>
  <c r="CP103" i="1"/>
  <c r="CQ103" i="1" s="1"/>
  <c r="CM103" i="1"/>
  <c r="CN103" i="1" s="1"/>
  <c r="CJ103" i="1"/>
  <c r="CK103" i="1" s="1"/>
  <c r="CH103" i="1"/>
  <c r="CE103" i="1"/>
  <c r="BV103" i="1"/>
  <c r="BQ103" i="1"/>
  <c r="BM103" i="1"/>
  <c r="R103" i="1"/>
  <c r="U103" i="1"/>
  <c r="T103" i="1"/>
  <c r="S103" i="1"/>
  <c r="AE103" i="1"/>
  <c r="GH111" i="1"/>
  <c r="FZ111" i="1" s="1"/>
  <c r="GB101" i="1"/>
  <c r="HK101" i="1" s="1"/>
  <c r="GB55" i="1"/>
  <c r="HJ55" i="1" s="1"/>
  <c r="GB97" i="1"/>
  <c r="HK97" i="1" s="1"/>
  <c r="GB106" i="1"/>
  <c r="HJ106" i="1" s="1"/>
  <c r="GB105" i="1"/>
  <c r="HK105" i="1" s="1"/>
  <c r="GB110" i="1"/>
  <c r="HJ110" i="1" s="1"/>
  <c r="GB111" i="1"/>
  <c r="HK111" i="1" s="1"/>
  <c r="EB55" i="1"/>
  <c r="EC55" i="1" s="1"/>
  <c r="EB107" i="1"/>
  <c r="EC107" i="1" s="1"/>
  <c r="DC107" i="1" s="1"/>
  <c r="EB97" i="1"/>
  <c r="EC97" i="1" s="1"/>
  <c r="DC97" i="1" s="1"/>
  <c r="EB106" i="1"/>
  <c r="EC106" i="1" s="1"/>
  <c r="EL106" i="1" s="1"/>
  <c r="EB105" i="1"/>
  <c r="EC105" i="1" s="1"/>
  <c r="EB110" i="1"/>
  <c r="EC110" i="1" s="1"/>
  <c r="EI110" i="1" s="1"/>
  <c r="EC111" i="1"/>
  <c r="DW101" i="1"/>
  <c r="DX101" i="1" s="1"/>
  <c r="DW55" i="1"/>
  <c r="DX55" i="1" s="1"/>
  <c r="DW107" i="1"/>
  <c r="DX107" i="1" s="1"/>
  <c r="DW97" i="1"/>
  <c r="DX97" i="1" s="1"/>
  <c r="DW106" i="1"/>
  <c r="DX106" i="1" s="1"/>
  <c r="DW105" i="1"/>
  <c r="DX105" i="1" s="1"/>
  <c r="DW110" i="1"/>
  <c r="DX110" i="1" s="1"/>
  <c r="DW111" i="1"/>
  <c r="DX111" i="1" s="1"/>
  <c r="DT55" i="1"/>
  <c r="DU55" i="1" s="1"/>
  <c r="DT107" i="1"/>
  <c r="DU107" i="1" s="1"/>
  <c r="DT97" i="1"/>
  <c r="DU97" i="1" s="1"/>
  <c r="DT106" i="1"/>
  <c r="DU106" i="1" s="1"/>
  <c r="DT105" i="1"/>
  <c r="DU105" i="1" s="1"/>
  <c r="DT110" i="1"/>
  <c r="DU110" i="1" s="1"/>
  <c r="DT111" i="1"/>
  <c r="DU111" i="1" s="1"/>
  <c r="DR101" i="1"/>
  <c r="DN101" i="1"/>
  <c r="DO101" i="1" s="1"/>
  <c r="DR55" i="1"/>
  <c r="DN55" i="1"/>
  <c r="DO55" i="1" s="1"/>
  <c r="DR107" i="1"/>
  <c r="DN107" i="1"/>
  <c r="DO107" i="1" s="1"/>
  <c r="DR97" i="1"/>
  <c r="DN97" i="1"/>
  <c r="DO97" i="1" s="1"/>
  <c r="DR106" i="1"/>
  <c r="DN106" i="1"/>
  <c r="DO106" i="1" s="1"/>
  <c r="DR105" i="1"/>
  <c r="DN105" i="1"/>
  <c r="DO105" i="1" s="1"/>
  <c r="DR110" i="1"/>
  <c r="DN110" i="1"/>
  <c r="DO110" i="1" s="1"/>
  <c r="DR111" i="1"/>
  <c r="DN111" i="1"/>
  <c r="DO111" i="1" s="1"/>
  <c r="DR118" i="1"/>
  <c r="DN118" i="1"/>
  <c r="DO118" i="1" s="1"/>
  <c r="DK115" i="1"/>
  <c r="DL115" i="1" s="1"/>
  <c r="DH115" i="1"/>
  <c r="DI115" i="1" s="1"/>
  <c r="DK101" i="1"/>
  <c r="DL101" i="1" s="1"/>
  <c r="DH101" i="1"/>
  <c r="DK55" i="1"/>
  <c r="DL55" i="1" s="1"/>
  <c r="DH55" i="1"/>
  <c r="EF55" i="1" s="1"/>
  <c r="DK107" i="1"/>
  <c r="DL107" i="1" s="1"/>
  <c r="DH107" i="1"/>
  <c r="DI107" i="1" s="1"/>
  <c r="DK97" i="1"/>
  <c r="DL97" i="1" s="1"/>
  <c r="DH97" i="1"/>
  <c r="DI97" i="1" s="1"/>
  <c r="DK106" i="1"/>
  <c r="DL106" i="1" s="1"/>
  <c r="DH106" i="1"/>
  <c r="FB106" i="1" s="1"/>
  <c r="DK105" i="1"/>
  <c r="DL105" i="1" s="1"/>
  <c r="DH105" i="1"/>
  <c r="EF105" i="1" s="1"/>
  <c r="DK110" i="1"/>
  <c r="DL110" i="1" s="1"/>
  <c r="DH110" i="1"/>
  <c r="DI110" i="1" s="1"/>
  <c r="DK111" i="1"/>
  <c r="DL111" i="1" s="1"/>
  <c r="DH111" i="1"/>
  <c r="EF111" i="1" s="1"/>
  <c r="DA101" i="1"/>
  <c r="DA55" i="1"/>
  <c r="DA107" i="1"/>
  <c r="DA97" i="1"/>
  <c r="DA106" i="1"/>
  <c r="DA105" i="1"/>
  <c r="DA110" i="1"/>
  <c r="DA111" i="1"/>
  <c r="DA118" i="1"/>
  <c r="CZ55" i="1"/>
  <c r="CZ107" i="1"/>
  <c r="CZ97" i="1"/>
  <c r="CZ106" i="1"/>
  <c r="CZ105" i="1"/>
  <c r="CZ110" i="1"/>
  <c r="CZ111" i="1"/>
  <c r="CV101" i="1"/>
  <c r="CV55" i="1"/>
  <c r="CV107" i="1"/>
  <c r="CV97" i="1"/>
  <c r="CV106" i="1"/>
  <c r="CV105" i="1"/>
  <c r="CV110" i="1"/>
  <c r="CV111" i="1"/>
  <c r="CQ55" i="1"/>
  <c r="CQ107" i="1"/>
  <c r="CQ106" i="1"/>
  <c r="CQ105" i="1"/>
  <c r="CQ110" i="1"/>
  <c r="CQ111" i="1"/>
  <c r="BV117" i="1"/>
  <c r="BV116" i="1"/>
  <c r="BV115" i="1"/>
  <c r="BV101" i="1"/>
  <c r="BV55" i="1"/>
  <c r="BV107" i="1"/>
  <c r="BV97" i="1"/>
  <c r="BV106" i="1"/>
  <c r="BV105" i="1"/>
  <c r="BV110" i="1"/>
  <c r="BV111" i="1"/>
  <c r="BQ55" i="1"/>
  <c r="BM55" i="1"/>
  <c r="BQ107" i="1"/>
  <c r="BM107" i="1"/>
  <c r="BQ97" i="1"/>
  <c r="BM97" i="1"/>
  <c r="BQ106" i="1"/>
  <c r="BM106" i="1"/>
  <c r="BQ105" i="1"/>
  <c r="BM105" i="1"/>
  <c r="BQ110" i="1"/>
  <c r="BM110" i="1"/>
  <c r="BQ111" i="1"/>
  <c r="BM111" i="1"/>
  <c r="P111" i="1"/>
  <c r="P172" i="1"/>
  <c r="P173" i="1"/>
  <c r="GP173" i="1"/>
  <c r="GT173" i="1" s="1"/>
  <c r="C174" i="1"/>
  <c r="D174" i="1"/>
  <c r="E174" i="1"/>
  <c r="F174" i="1"/>
  <c r="G174" i="1"/>
  <c r="H174" i="1"/>
  <c r="I174" i="1"/>
  <c r="P174" i="1"/>
  <c r="GP174" i="1"/>
  <c r="GS174" i="1" s="1"/>
  <c r="C175" i="1"/>
  <c r="D175" i="1"/>
  <c r="E175" i="1"/>
  <c r="F175" i="1"/>
  <c r="G175" i="1"/>
  <c r="H175" i="1"/>
  <c r="I175" i="1"/>
  <c r="P175" i="1"/>
  <c r="C176" i="1"/>
  <c r="D176" i="1"/>
  <c r="E176" i="1"/>
  <c r="F176" i="1"/>
  <c r="G176" i="1"/>
  <c r="H176" i="1"/>
  <c r="I176" i="1"/>
  <c r="P176" i="1"/>
  <c r="GS176" i="1"/>
  <c r="C177" i="1"/>
  <c r="D177" i="1"/>
  <c r="E177" i="1"/>
  <c r="F177" i="1"/>
  <c r="G177" i="1"/>
  <c r="H177" i="1"/>
  <c r="I177" i="1"/>
  <c r="P177" i="1"/>
  <c r="C178" i="1"/>
  <c r="D178" i="1"/>
  <c r="E178" i="1"/>
  <c r="F178" i="1"/>
  <c r="G178" i="1"/>
  <c r="H178" i="1"/>
  <c r="I178" i="1"/>
  <c r="C179" i="1"/>
  <c r="D179" i="1"/>
  <c r="E179" i="1"/>
  <c r="F179" i="1"/>
  <c r="G179" i="1"/>
  <c r="H179" i="1"/>
  <c r="I179" i="1"/>
  <c r="C180" i="1"/>
  <c r="D180" i="1"/>
  <c r="E180" i="1"/>
  <c r="F180" i="1"/>
  <c r="G180" i="1"/>
  <c r="H180" i="1"/>
  <c r="I180" i="1"/>
  <c r="C181" i="1"/>
  <c r="D181" i="1"/>
  <c r="E181" i="1"/>
  <c r="F181" i="1"/>
  <c r="G181" i="1"/>
  <c r="H181" i="1"/>
  <c r="I181" i="1"/>
  <c r="O181" i="1"/>
  <c r="O188" i="1" s="1"/>
  <c r="O182" i="1"/>
  <c r="B183" i="1"/>
  <c r="O183" i="1"/>
  <c r="O184" i="1"/>
  <c r="O185" i="1"/>
  <c r="O187" i="1"/>
  <c r="HP123" i="1"/>
  <c r="GH123" i="1"/>
  <c r="FZ123" i="1" s="1"/>
  <c r="GB123" i="1"/>
  <c r="HJ123" i="1" s="1"/>
  <c r="EB123" i="1"/>
  <c r="DW123" i="1"/>
  <c r="DX123" i="1" s="1"/>
  <c r="DT123" i="1"/>
  <c r="DU123" i="1" s="1"/>
  <c r="DR123" i="1"/>
  <c r="DN123" i="1"/>
  <c r="DO123" i="1" s="1"/>
  <c r="DK123" i="1"/>
  <c r="DL123" i="1" s="1"/>
  <c r="DH123" i="1"/>
  <c r="DE123" i="1"/>
  <c r="DF123" i="1" s="1"/>
  <c r="DA123" i="1"/>
  <c r="CZ123" i="1"/>
  <c r="CV123" i="1"/>
  <c r="CQ123" i="1"/>
  <c r="CN123" i="1"/>
  <c r="CK123" i="1"/>
  <c r="CH123" i="1"/>
  <c r="CE123" i="1"/>
  <c r="BV123" i="1"/>
  <c r="BQ123" i="1"/>
  <c r="BM123" i="1"/>
  <c r="BD123" i="1"/>
  <c r="U123" i="1"/>
  <c r="T123" i="1"/>
  <c r="S123" i="1"/>
  <c r="HP122" i="1"/>
  <c r="GH122" i="1"/>
  <c r="GB122" i="1"/>
  <c r="HJ122" i="1" s="1"/>
  <c r="EB122" i="1"/>
  <c r="EK122" i="1" s="1"/>
  <c r="DW122" i="1"/>
  <c r="DX122" i="1" s="1"/>
  <c r="DT122" i="1"/>
  <c r="DU122" i="1" s="1"/>
  <c r="DR122" i="1"/>
  <c r="DN122" i="1"/>
  <c r="DO122" i="1" s="1"/>
  <c r="DK122" i="1"/>
  <c r="DL122" i="1" s="1"/>
  <c r="DH122" i="1"/>
  <c r="FB122" i="1" s="1"/>
  <c r="DE122" i="1"/>
  <c r="DF122" i="1" s="1"/>
  <c r="DA122" i="1"/>
  <c r="CZ122" i="1"/>
  <c r="CV122" i="1"/>
  <c r="CQ122" i="1"/>
  <c r="CN122" i="1"/>
  <c r="CK122" i="1"/>
  <c r="CH122" i="1"/>
  <c r="CE122" i="1"/>
  <c r="BV122" i="1"/>
  <c r="BQ122" i="1"/>
  <c r="BM122" i="1"/>
  <c r="BD122" i="1"/>
  <c r="GG122" i="1"/>
  <c r="U122" i="1"/>
  <c r="T122" i="1"/>
  <c r="S122" i="1"/>
  <c r="HP117" i="1"/>
  <c r="HW117" i="1" s="1"/>
  <c r="GH117" i="1"/>
  <c r="GB117" i="1"/>
  <c r="EB117" i="1"/>
  <c r="EC117" i="1" s="1"/>
  <c r="FI117" i="1" s="1"/>
  <c r="DW117" i="1"/>
  <c r="DX117" i="1" s="1"/>
  <c r="DT117" i="1"/>
  <c r="DU117" i="1" s="1"/>
  <c r="DR117" i="1"/>
  <c r="DN117" i="1"/>
  <c r="DO117" i="1" s="1"/>
  <c r="DK117" i="1"/>
  <c r="DL117" i="1" s="1"/>
  <c r="DH117" i="1"/>
  <c r="DE117" i="1"/>
  <c r="DF117" i="1" s="1"/>
  <c r="DA117" i="1"/>
  <c r="CZ117" i="1"/>
  <c r="CV117" i="1"/>
  <c r="CP117" i="1"/>
  <c r="CQ117" i="1" s="1"/>
  <c r="CM117" i="1"/>
  <c r="CN117" i="1" s="1"/>
  <c r="CJ117" i="1"/>
  <c r="CK117" i="1" s="1"/>
  <c r="CH117" i="1"/>
  <c r="CE117" i="1"/>
  <c r="BQ117" i="1"/>
  <c r="BM117" i="1"/>
  <c r="BD117" i="1"/>
  <c r="W117" i="1"/>
  <c r="U117" i="1"/>
  <c r="T117" i="1"/>
  <c r="S117" i="1"/>
  <c r="HP116" i="1"/>
  <c r="GH116" i="1"/>
  <c r="FZ116" i="1" s="1"/>
  <c r="GB116" i="1"/>
  <c r="HJ116" i="1" s="1"/>
  <c r="EB116" i="1"/>
  <c r="DW116" i="1"/>
  <c r="DX116" i="1" s="1"/>
  <c r="DT116" i="1"/>
  <c r="DU116" i="1" s="1"/>
  <c r="DR116" i="1"/>
  <c r="DN116" i="1"/>
  <c r="DO116" i="1" s="1"/>
  <c r="DK116" i="1"/>
  <c r="DL116" i="1" s="1"/>
  <c r="DH116" i="1"/>
  <c r="EF116" i="1" s="1"/>
  <c r="DE116" i="1"/>
  <c r="DF116" i="1" s="1"/>
  <c r="DA116" i="1"/>
  <c r="CZ116" i="1"/>
  <c r="CV116" i="1"/>
  <c r="CP116" i="1"/>
  <c r="CQ116" i="1" s="1"/>
  <c r="CM116" i="1"/>
  <c r="CN116" i="1" s="1"/>
  <c r="CJ116" i="1"/>
  <c r="CK116" i="1" s="1"/>
  <c r="CH116" i="1"/>
  <c r="CE116" i="1"/>
  <c r="BQ116" i="1"/>
  <c r="BM116" i="1"/>
  <c r="BD116" i="1"/>
  <c r="U116" i="1"/>
  <c r="T116" i="1"/>
  <c r="S116" i="1"/>
  <c r="GS116" i="1"/>
  <c r="S121" i="1"/>
  <c r="T121" i="1"/>
  <c r="U121" i="1"/>
  <c r="S124" i="1"/>
  <c r="T124" i="1"/>
  <c r="U124" i="1"/>
  <c r="S125" i="1"/>
  <c r="T125" i="1"/>
  <c r="U125" i="1"/>
  <c r="HP125" i="1"/>
  <c r="GH125" i="1"/>
  <c r="GB125" i="1"/>
  <c r="EB125" i="1"/>
  <c r="EK125" i="1" s="1"/>
  <c r="DW125" i="1"/>
  <c r="DX125" i="1" s="1"/>
  <c r="DT125" i="1"/>
  <c r="DU125" i="1" s="1"/>
  <c r="DR125" i="1"/>
  <c r="DN125" i="1"/>
  <c r="DO125" i="1" s="1"/>
  <c r="DK125" i="1"/>
  <c r="DL125" i="1" s="1"/>
  <c r="DH125" i="1"/>
  <c r="DI125" i="1" s="1"/>
  <c r="DE125" i="1"/>
  <c r="DF125" i="1" s="1"/>
  <c r="DA125" i="1"/>
  <c r="CZ125" i="1"/>
  <c r="CV125" i="1"/>
  <c r="BD125" i="1"/>
  <c r="BC125" i="1"/>
  <c r="GG125" i="1"/>
  <c r="U55" i="1"/>
  <c r="T120" i="1"/>
  <c r="S120" i="1"/>
  <c r="T119" i="1"/>
  <c r="S119" i="1"/>
  <c r="T55" i="1"/>
  <c r="S55" i="1"/>
  <c r="T132" i="1"/>
  <c r="S132" i="1"/>
  <c r="O107" i="1"/>
  <c r="T107" i="1" s="1"/>
  <c r="S105" i="1"/>
  <c r="AM55" i="1"/>
  <c r="U105" i="1"/>
  <c r="U107" i="1"/>
  <c r="T105" i="1"/>
  <c r="BM37" i="1"/>
  <c r="BQ37" i="1"/>
  <c r="CE37" i="1"/>
  <c r="CH37" i="1"/>
  <c r="CK37" i="1"/>
  <c r="CN37" i="1"/>
  <c r="CQ37" i="1"/>
  <c r="CV37" i="1"/>
  <c r="CZ37" i="1"/>
  <c r="ED37" i="1"/>
  <c r="EE37" i="1"/>
  <c r="EF37" i="1"/>
  <c r="EI37" i="1"/>
  <c r="EK37" i="1"/>
  <c r="EL37" i="1"/>
  <c r="GH37" i="1"/>
  <c r="FZ37" i="1" s="1"/>
  <c r="GO37" i="1" s="1"/>
  <c r="FB37" i="1"/>
  <c r="GB37" i="1"/>
  <c r="GG46" i="1"/>
  <c r="BM46" i="1"/>
  <c r="BQ46" i="1"/>
  <c r="CE46" i="1"/>
  <c r="CH46" i="1"/>
  <c r="CK46" i="1"/>
  <c r="CN46" i="1"/>
  <c r="CQ46" i="1"/>
  <c r="CV46" i="1"/>
  <c r="CZ46" i="1"/>
  <c r="ED46" i="1"/>
  <c r="EE46" i="1"/>
  <c r="EF46" i="1"/>
  <c r="EI46" i="1"/>
  <c r="EK46" i="1"/>
  <c r="EL46" i="1"/>
  <c r="GH46" i="1"/>
  <c r="GK46" i="1" s="1"/>
  <c r="FB46" i="1"/>
  <c r="GB46" i="1"/>
  <c r="AL50" i="1"/>
  <c r="BM50" i="1"/>
  <c r="BQ50" i="1"/>
  <c r="CE50" i="1"/>
  <c r="CH50" i="1"/>
  <c r="CK50" i="1"/>
  <c r="CN50" i="1"/>
  <c r="CQ50" i="1"/>
  <c r="CV50" i="1"/>
  <c r="CZ50" i="1"/>
  <c r="ED50" i="1"/>
  <c r="EE50" i="1"/>
  <c r="EF50" i="1"/>
  <c r="EI50" i="1"/>
  <c r="EK50" i="1"/>
  <c r="EL50" i="1"/>
  <c r="GH50" i="1"/>
  <c r="FB50" i="1"/>
  <c r="GB50" i="1"/>
  <c r="BM52" i="1"/>
  <c r="BQ52" i="1"/>
  <c r="CE52" i="1"/>
  <c r="CH52" i="1"/>
  <c r="CK52" i="1"/>
  <c r="CN52" i="1"/>
  <c r="CQ52" i="1"/>
  <c r="CV52" i="1"/>
  <c r="CZ52" i="1"/>
  <c r="ED52" i="1"/>
  <c r="EE52" i="1"/>
  <c r="EF52" i="1"/>
  <c r="EI52" i="1"/>
  <c r="EK52" i="1"/>
  <c r="EL52" i="1"/>
  <c r="GH52" i="1"/>
  <c r="GK52" i="1" s="1"/>
  <c r="FB52" i="1"/>
  <c r="FI52" i="1"/>
  <c r="GB52" i="1"/>
  <c r="BM53" i="1"/>
  <c r="BQ53" i="1"/>
  <c r="CE53" i="1"/>
  <c r="CH53" i="1"/>
  <c r="CK53" i="1"/>
  <c r="CN53" i="1"/>
  <c r="CQ53" i="1"/>
  <c r="CV53" i="1"/>
  <c r="CZ53" i="1"/>
  <c r="ED53" i="1"/>
  <c r="EE53" i="1"/>
  <c r="EF53" i="1"/>
  <c r="EI53" i="1"/>
  <c r="EK53" i="1"/>
  <c r="EL53" i="1"/>
  <c r="GH53" i="1"/>
  <c r="FY53" i="1" s="1"/>
  <c r="FB53" i="1"/>
  <c r="FI53" i="1"/>
  <c r="GB53" i="1"/>
  <c r="GH124" i="1"/>
  <c r="FZ124" i="1" s="1"/>
  <c r="GO124" i="1" s="1"/>
  <c r="GH126" i="1"/>
  <c r="GK126" i="1" s="1"/>
  <c r="GH127" i="1"/>
  <c r="FZ127" i="1" s="1"/>
  <c r="GC127" i="1" s="1"/>
  <c r="GH128" i="1"/>
  <c r="GK128" i="1" s="1"/>
  <c r="GH129" i="1"/>
  <c r="FZ129" i="1" s="1"/>
  <c r="GO129" i="1" s="1"/>
  <c r="GH130" i="1"/>
  <c r="FY130" i="1" s="1"/>
  <c r="GH131" i="1"/>
  <c r="FY131" i="1" s="1"/>
  <c r="GH132" i="1"/>
  <c r="FY132" i="1" s="1"/>
  <c r="GH133" i="1"/>
  <c r="GK133" i="1" s="1"/>
  <c r="HC133" i="1"/>
  <c r="R124" i="1"/>
  <c r="GG127" i="1"/>
  <c r="GG131" i="1"/>
  <c r="GH121" i="1"/>
  <c r="GB127" i="1"/>
  <c r="GB128" i="1"/>
  <c r="GB129" i="1"/>
  <c r="GB130" i="1"/>
  <c r="GB131" i="1"/>
  <c r="GB132" i="1"/>
  <c r="EB127" i="1"/>
  <c r="EK127" i="1" s="1"/>
  <c r="EB128" i="1"/>
  <c r="EK128" i="1" s="1"/>
  <c r="EB129" i="1"/>
  <c r="EC129" i="1" s="1"/>
  <c r="EL129" i="1" s="1"/>
  <c r="EB130" i="1"/>
  <c r="EC130" i="1" s="1"/>
  <c r="EL130" i="1" s="1"/>
  <c r="EB131" i="1"/>
  <c r="EC131" i="1" s="1"/>
  <c r="DC131" i="1" s="1"/>
  <c r="EB132" i="1"/>
  <c r="DH127" i="1"/>
  <c r="DI127" i="1" s="1"/>
  <c r="DH128" i="1"/>
  <c r="EF128" i="1" s="1"/>
  <c r="DH129" i="1"/>
  <c r="FB129" i="1" s="1"/>
  <c r="DH130" i="1"/>
  <c r="EF130" i="1" s="1"/>
  <c r="DH131" i="1"/>
  <c r="DI131" i="1" s="1"/>
  <c r="DH132" i="1"/>
  <c r="FB132" i="1" s="1"/>
  <c r="EB121" i="1"/>
  <c r="EC121" i="1" s="1"/>
  <c r="DC121" i="1" s="1"/>
  <c r="EB124" i="1"/>
  <c r="EK124" i="1" s="1"/>
  <c r="EB126" i="1"/>
  <c r="CZ121" i="1"/>
  <c r="DA121" i="1"/>
  <c r="DE121" i="1"/>
  <c r="DF121" i="1" s="1"/>
  <c r="DH121" i="1"/>
  <c r="DI121" i="1" s="1"/>
  <c r="DK121" i="1"/>
  <c r="DL121" i="1" s="1"/>
  <c r="DN121" i="1"/>
  <c r="DO121" i="1" s="1"/>
  <c r="DR121" i="1"/>
  <c r="DT121" i="1"/>
  <c r="DU121" i="1" s="1"/>
  <c r="DW121" i="1"/>
  <c r="DX121" i="1" s="1"/>
  <c r="CZ124" i="1"/>
  <c r="DA124" i="1"/>
  <c r="DE124" i="1"/>
  <c r="DF124" i="1" s="1"/>
  <c r="DH124" i="1"/>
  <c r="DI124" i="1" s="1"/>
  <c r="DK124" i="1"/>
  <c r="DL124" i="1" s="1"/>
  <c r="DN124" i="1"/>
  <c r="DO124" i="1" s="1"/>
  <c r="DR124" i="1"/>
  <c r="DT124" i="1"/>
  <c r="DU124" i="1" s="1"/>
  <c r="DW124" i="1"/>
  <c r="DX124" i="1" s="1"/>
  <c r="CZ126" i="1"/>
  <c r="DA126" i="1"/>
  <c r="DE126" i="1"/>
  <c r="DF126" i="1" s="1"/>
  <c r="DH126" i="1"/>
  <c r="FB126" i="1" s="1"/>
  <c r="DK126" i="1"/>
  <c r="DL126" i="1" s="1"/>
  <c r="DN126" i="1"/>
  <c r="DO126" i="1" s="1"/>
  <c r="DR126" i="1"/>
  <c r="DT126" i="1"/>
  <c r="DU126" i="1" s="1"/>
  <c r="DW126" i="1"/>
  <c r="DX126" i="1" s="1"/>
  <c r="CZ127" i="1"/>
  <c r="DA127" i="1"/>
  <c r="DE127" i="1"/>
  <c r="DF127" i="1" s="1"/>
  <c r="DK127" i="1"/>
  <c r="DL127" i="1" s="1"/>
  <c r="DN127" i="1"/>
  <c r="DO127" i="1" s="1"/>
  <c r="DR127" i="1"/>
  <c r="DT127" i="1"/>
  <c r="DU127" i="1" s="1"/>
  <c r="DW127" i="1"/>
  <c r="DX127" i="1" s="1"/>
  <c r="CZ128" i="1"/>
  <c r="DA128" i="1"/>
  <c r="DE128" i="1"/>
  <c r="DF128" i="1" s="1"/>
  <c r="DK128" i="1"/>
  <c r="DL128" i="1" s="1"/>
  <c r="DN128" i="1"/>
  <c r="DO128" i="1" s="1"/>
  <c r="DR128" i="1"/>
  <c r="DT128" i="1"/>
  <c r="DU128" i="1" s="1"/>
  <c r="DW128" i="1"/>
  <c r="DX128" i="1" s="1"/>
  <c r="CZ129" i="1"/>
  <c r="DA129" i="1"/>
  <c r="DE129" i="1"/>
  <c r="DF129" i="1" s="1"/>
  <c r="DK129" i="1"/>
  <c r="DL129" i="1" s="1"/>
  <c r="DN129" i="1"/>
  <c r="DO129" i="1" s="1"/>
  <c r="DR129" i="1"/>
  <c r="DT129" i="1"/>
  <c r="DU129" i="1" s="1"/>
  <c r="DW129" i="1"/>
  <c r="DX129" i="1" s="1"/>
  <c r="CZ130" i="1"/>
  <c r="DA130" i="1"/>
  <c r="DE130" i="1"/>
  <c r="DF130" i="1" s="1"/>
  <c r="DK130" i="1"/>
  <c r="DL130" i="1" s="1"/>
  <c r="DN130" i="1"/>
  <c r="DO130" i="1" s="1"/>
  <c r="DR130" i="1"/>
  <c r="DT130" i="1"/>
  <c r="DU130" i="1" s="1"/>
  <c r="DW130" i="1"/>
  <c r="DX130" i="1" s="1"/>
  <c r="CZ131" i="1"/>
  <c r="DA131" i="1"/>
  <c r="DE131" i="1"/>
  <c r="DF131" i="1" s="1"/>
  <c r="DK131" i="1"/>
  <c r="DL131" i="1" s="1"/>
  <c r="DN131" i="1"/>
  <c r="DO131" i="1" s="1"/>
  <c r="DR131" i="1"/>
  <c r="DT131" i="1"/>
  <c r="DU131" i="1" s="1"/>
  <c r="DW131" i="1"/>
  <c r="DX131" i="1" s="1"/>
  <c r="CZ132" i="1"/>
  <c r="DA132" i="1"/>
  <c r="DE132" i="1"/>
  <c r="DF132" i="1" s="1"/>
  <c r="DK132" i="1"/>
  <c r="DL132" i="1" s="1"/>
  <c r="DN132" i="1"/>
  <c r="DO132" i="1" s="1"/>
  <c r="DR132" i="1"/>
  <c r="DT132" i="1"/>
  <c r="DU132" i="1" s="1"/>
  <c r="DW132" i="1"/>
  <c r="DX132" i="1" s="1"/>
  <c r="GH92" i="1"/>
  <c r="GK92" i="1" s="1"/>
  <c r="HP119" i="1"/>
  <c r="HW119" i="1" s="1"/>
  <c r="GH119" i="1"/>
  <c r="GK119" i="1" s="1"/>
  <c r="GB119" i="1"/>
  <c r="EB119" i="1"/>
  <c r="EK119" i="1" s="1"/>
  <c r="DW119" i="1"/>
  <c r="DX119" i="1" s="1"/>
  <c r="DT119" i="1"/>
  <c r="DU119" i="1" s="1"/>
  <c r="DR119" i="1"/>
  <c r="DN119" i="1"/>
  <c r="DO119" i="1" s="1"/>
  <c r="DK119" i="1"/>
  <c r="DL119" i="1" s="1"/>
  <c r="DH119" i="1"/>
  <c r="DI119" i="1" s="1"/>
  <c r="DE119" i="1"/>
  <c r="DF119" i="1" s="1"/>
  <c r="DA119" i="1"/>
  <c r="CZ119" i="1"/>
  <c r="CV119" i="1"/>
  <c r="CQ119" i="1"/>
  <c r="CN119" i="1"/>
  <c r="CK119" i="1"/>
  <c r="CH119" i="1"/>
  <c r="CE119" i="1"/>
  <c r="BQ119" i="1"/>
  <c r="BM119" i="1"/>
  <c r="BD119" i="1"/>
  <c r="BC119" i="1"/>
  <c r="BC54" i="1"/>
  <c r="BC139" i="1"/>
  <c r="BC126" i="1"/>
  <c r="BC124" i="1"/>
  <c r="BC120" i="1"/>
  <c r="BC107" i="1"/>
  <c r="BC105" i="1"/>
  <c r="BC106" i="1"/>
  <c r="BC101" i="1"/>
  <c r="BD139" i="1"/>
  <c r="BD126" i="1"/>
  <c r="BD124" i="1"/>
  <c r="BD121" i="1"/>
  <c r="BD120" i="1"/>
  <c r="BD107" i="1"/>
  <c r="BD105" i="1"/>
  <c r="BD115" i="1"/>
  <c r="BD106" i="1"/>
  <c r="BD101" i="1"/>
  <c r="BD97" i="1"/>
  <c r="BC97" i="1"/>
  <c r="GH33" i="1"/>
  <c r="FY33" i="1" s="1"/>
  <c r="GH140" i="1"/>
  <c r="GH137" i="1"/>
  <c r="GK137" i="1" s="1"/>
  <c r="GH135" i="1"/>
  <c r="GK135" i="1" s="1"/>
  <c r="GH31" i="1"/>
  <c r="FY31" i="1" s="1"/>
  <c r="GH136" i="1"/>
  <c r="GK136" i="1" s="1"/>
  <c r="GH110" i="1"/>
  <c r="FZ110" i="1" s="1"/>
  <c r="HE110" i="1" s="1"/>
  <c r="GH120" i="1"/>
  <c r="GK120" i="1" s="1"/>
  <c r="GH107" i="1"/>
  <c r="GK107" i="1" s="1"/>
  <c r="GH105" i="1"/>
  <c r="FY105" i="1" s="1"/>
  <c r="GH115" i="1"/>
  <c r="FY115" i="1" s="1"/>
  <c r="GH106" i="1"/>
  <c r="GK106" i="1" s="1"/>
  <c r="GH109" i="1"/>
  <c r="FZ109" i="1" s="1"/>
  <c r="GZ109" i="1" s="1"/>
  <c r="GH108" i="1"/>
  <c r="FZ108" i="1" s="1"/>
  <c r="GD108" i="1" s="1"/>
  <c r="FZ86" i="1"/>
  <c r="GC86" i="1" s="1"/>
  <c r="FZ85" i="1"/>
  <c r="HF85" i="1" s="1"/>
  <c r="FY82" i="1"/>
  <c r="GH118" i="1"/>
  <c r="GK118" i="1" s="1"/>
  <c r="GH97" i="1"/>
  <c r="GB140" i="1"/>
  <c r="HJ140" i="1" s="1"/>
  <c r="GB137" i="1"/>
  <c r="GB135" i="1"/>
  <c r="GB133" i="1"/>
  <c r="HJ133" i="1" s="1"/>
  <c r="GB31" i="1"/>
  <c r="HJ31" i="1" s="1"/>
  <c r="GB136" i="1"/>
  <c r="HK136" i="1" s="1"/>
  <c r="GB126" i="1"/>
  <c r="GB124" i="1"/>
  <c r="GB121" i="1"/>
  <c r="HJ121" i="1" s="1"/>
  <c r="GB120" i="1"/>
  <c r="HJ120" i="1" s="1"/>
  <c r="GB115" i="1"/>
  <c r="HJ115" i="1" s="1"/>
  <c r="GB109" i="1"/>
  <c r="HK109" i="1" s="1"/>
  <c r="GB108" i="1"/>
  <c r="HJ108" i="1" s="1"/>
  <c r="GB87" i="1"/>
  <c r="HJ87" i="1" s="1"/>
  <c r="GB86" i="1"/>
  <c r="HK86" i="1" s="1"/>
  <c r="GB85" i="1"/>
  <c r="HK85" i="1" s="1"/>
  <c r="GB83" i="1"/>
  <c r="HJ83" i="1" s="1"/>
  <c r="GB82" i="1"/>
  <c r="HJ82" i="1" s="1"/>
  <c r="GB81" i="1"/>
  <c r="GB80" i="1"/>
  <c r="GB118" i="1"/>
  <c r="HK118" i="1" s="1"/>
  <c r="FI31" i="1"/>
  <c r="EL33" i="1"/>
  <c r="EK33" i="1"/>
  <c r="EI33" i="1"/>
  <c r="EL31" i="1"/>
  <c r="EK31" i="1"/>
  <c r="EI31" i="1"/>
  <c r="DE97" i="1"/>
  <c r="DF97" i="1" s="1"/>
  <c r="CZ101" i="1"/>
  <c r="DE101" i="1"/>
  <c r="DF101" i="1" s="1"/>
  <c r="DT101" i="1"/>
  <c r="DU101" i="1" s="1"/>
  <c r="EB101" i="1"/>
  <c r="EK101" i="1" s="1"/>
  <c r="CV33" i="1"/>
  <c r="CV140" i="1"/>
  <c r="CV137" i="1"/>
  <c r="CV135" i="1"/>
  <c r="CV133" i="1"/>
  <c r="CV31" i="1"/>
  <c r="CV136" i="1"/>
  <c r="CV126" i="1"/>
  <c r="CV124" i="1"/>
  <c r="CV121" i="1"/>
  <c r="CV120" i="1"/>
  <c r="CV115" i="1"/>
  <c r="CV109" i="1"/>
  <c r="CV108" i="1"/>
  <c r="CP101" i="1"/>
  <c r="CQ101" i="1" s="1"/>
  <c r="CM101" i="1"/>
  <c r="CN101" i="1" s="1"/>
  <c r="CJ101" i="1"/>
  <c r="CK101" i="1" s="1"/>
  <c r="CP97" i="1"/>
  <c r="CQ97" i="1" s="1"/>
  <c r="CM97" i="1"/>
  <c r="CN97" i="1" s="1"/>
  <c r="CJ97" i="1"/>
  <c r="CK97" i="1" s="1"/>
  <c r="CH101" i="1"/>
  <c r="CE101" i="1"/>
  <c r="CH97" i="1"/>
  <c r="CE97" i="1"/>
  <c r="BV108" i="1"/>
  <c r="BV109" i="1"/>
  <c r="BQ101" i="1"/>
  <c r="BM101" i="1"/>
  <c r="S101" i="1"/>
  <c r="T101" i="1"/>
  <c r="U101" i="1"/>
  <c r="GS101" i="1"/>
  <c r="U97" i="1"/>
  <c r="S97" i="1"/>
  <c r="T97" i="1"/>
  <c r="GG97" i="1"/>
  <c r="HV10" i="1"/>
  <c r="HQ10" i="1"/>
  <c r="HP10" i="1" s="1"/>
  <c r="HO10" i="1"/>
  <c r="HV2" i="1"/>
  <c r="HP7" i="1"/>
  <c r="HW7" i="1" s="1"/>
  <c r="HP3" i="1"/>
  <c r="HP11" i="1"/>
  <c r="HW11" i="1" s="1"/>
  <c r="HP58" i="1"/>
  <c r="HP8" i="1"/>
  <c r="HW8" i="1" s="1"/>
  <c r="HP63" i="1"/>
  <c r="HP9" i="1"/>
  <c r="HP59" i="1"/>
  <c r="HP5" i="1"/>
  <c r="HW5" i="1" s="1"/>
  <c r="HP60" i="1"/>
  <c r="HW60" i="1" s="1"/>
  <c r="HP6" i="1"/>
  <c r="HP54" i="1"/>
  <c r="HP31" i="1"/>
  <c r="HW31" i="1" s="1"/>
  <c r="HP4" i="1"/>
  <c r="HP33" i="1"/>
  <c r="HP20" i="1"/>
  <c r="HP77" i="1"/>
  <c r="HP18" i="1"/>
  <c r="HW18" i="1" s="1"/>
  <c r="HP19" i="1"/>
  <c r="HP47" i="1"/>
  <c r="HW47" i="1" s="1"/>
  <c r="HP44" i="1"/>
  <c r="HP32" i="1"/>
  <c r="HP88" i="1"/>
  <c r="HP35" i="1"/>
  <c r="HW35" i="1" s="1"/>
  <c r="HP34" i="1"/>
  <c r="HP56" i="1"/>
  <c r="HP14" i="1"/>
  <c r="HW14" i="1" s="1"/>
  <c r="HP57" i="1"/>
  <c r="HP134" i="1"/>
  <c r="HW134" i="1" s="1"/>
  <c r="HP22" i="1"/>
  <c r="HP2" i="1"/>
  <c r="HP21" i="1"/>
  <c r="HP40" i="1"/>
  <c r="HW40" i="1" s="1"/>
  <c r="HP90" i="1"/>
  <c r="HP26" i="1"/>
  <c r="HP84" i="1"/>
  <c r="HP100" i="1"/>
  <c r="HP99" i="1"/>
  <c r="HP98" i="1"/>
  <c r="HW98" i="1" s="1"/>
  <c r="HP42" i="1"/>
  <c r="HP49" i="1"/>
  <c r="HP104" i="1"/>
  <c r="HP17" i="1"/>
  <c r="HP15" i="1"/>
  <c r="HW15" i="1" s="1"/>
  <c r="HP51" i="1"/>
  <c r="HP45" i="1"/>
  <c r="HP38" i="1"/>
  <c r="HP48" i="1"/>
  <c r="HP43" i="1"/>
  <c r="HW43" i="1" s="1"/>
  <c r="HP39" i="1"/>
  <c r="HP145" i="1"/>
  <c r="HP27" i="1"/>
  <c r="HP13" i="1"/>
  <c r="HP36" i="1"/>
  <c r="HP12" i="1"/>
  <c r="HP16" i="1"/>
  <c r="HP41" i="1"/>
  <c r="HP24" i="1"/>
  <c r="HP23" i="1"/>
  <c r="HP64" i="1"/>
  <c r="HP28" i="1"/>
  <c r="HW28" i="1" s="1"/>
  <c r="HP61" i="1"/>
  <c r="HP65" i="1"/>
  <c r="HP25" i="1"/>
  <c r="HP29" i="1"/>
  <c r="HP89" i="1"/>
  <c r="HW89" i="1" s="1"/>
  <c r="HP30" i="1"/>
  <c r="HP62" i="1"/>
  <c r="HW62" i="1" s="1"/>
  <c r="HP70" i="1"/>
  <c r="HP69" i="1"/>
  <c r="HP67" i="1"/>
  <c r="HP66" i="1"/>
  <c r="HW66" i="1" s="1"/>
  <c r="HP68" i="1"/>
  <c r="HP73" i="1"/>
  <c r="HP71" i="1"/>
  <c r="HP72" i="1"/>
  <c r="HP74" i="1"/>
  <c r="HP75" i="1"/>
  <c r="HP92" i="1"/>
  <c r="HP94" i="1"/>
  <c r="HW94" i="1" s="1"/>
  <c r="HP95" i="1"/>
  <c r="HP78" i="1"/>
  <c r="HP79" i="1"/>
  <c r="HP96" i="1"/>
  <c r="HP93" i="1"/>
  <c r="HP91" i="1"/>
  <c r="HP113" i="1"/>
  <c r="HP114" i="1"/>
  <c r="HP112" i="1"/>
  <c r="HP76" i="1"/>
  <c r="HP102" i="1"/>
  <c r="HP118" i="1"/>
  <c r="HP80" i="1"/>
  <c r="HP81" i="1"/>
  <c r="HP82" i="1"/>
  <c r="HP83" i="1"/>
  <c r="HP85" i="1"/>
  <c r="HP86" i="1"/>
  <c r="HP87" i="1"/>
  <c r="HP108" i="1"/>
  <c r="HP109" i="1"/>
  <c r="HW109" i="1" s="1"/>
  <c r="HP106" i="1"/>
  <c r="HP115" i="1"/>
  <c r="HP105" i="1"/>
  <c r="HP107" i="1"/>
  <c r="HP120" i="1"/>
  <c r="HP110" i="1"/>
  <c r="HP136" i="1"/>
  <c r="HP133" i="1"/>
  <c r="HP121" i="1"/>
  <c r="HP135" i="1"/>
  <c r="HP141" i="1"/>
  <c r="HW141" i="1" s="1"/>
  <c r="HP137" i="1"/>
  <c r="HW137" i="1" s="1"/>
  <c r="HP138" i="1"/>
  <c r="HW138" i="1" s="1"/>
  <c r="HP139" i="1"/>
  <c r="HW139" i="1" s="1"/>
  <c r="HP140" i="1"/>
  <c r="HP142" i="1"/>
  <c r="HW142" i="1" s="1"/>
  <c r="HP143" i="1"/>
  <c r="HP144" i="1"/>
  <c r="HP146" i="1"/>
  <c r="HW146" i="1" s="1"/>
  <c r="HP147" i="1"/>
  <c r="HP148" i="1"/>
  <c r="HP149" i="1"/>
  <c r="HP152" i="1"/>
  <c r="HP150" i="1"/>
  <c r="HW150" i="1" s="1"/>
  <c r="HP151" i="1"/>
  <c r="HW151" i="1" s="1"/>
  <c r="HP124" i="1"/>
  <c r="HP126" i="1"/>
  <c r="HO2" i="1"/>
  <c r="HA2" i="1"/>
  <c r="EL11" i="1"/>
  <c r="EL63" i="1"/>
  <c r="EL59" i="1"/>
  <c r="EL54" i="1"/>
  <c r="EN54" i="1" s="1"/>
  <c r="EP54" i="1" s="1"/>
  <c r="EL32" i="1"/>
  <c r="EB109" i="1"/>
  <c r="EK109" i="1" s="1"/>
  <c r="DW109" i="1"/>
  <c r="DX109" i="1" s="1"/>
  <c r="DT109" i="1"/>
  <c r="DU109" i="1" s="1"/>
  <c r="DR109" i="1"/>
  <c r="DN109" i="1"/>
  <c r="DO109" i="1" s="1"/>
  <c r="DK109" i="1"/>
  <c r="DL109" i="1" s="1"/>
  <c r="DH109" i="1"/>
  <c r="EF109" i="1" s="1"/>
  <c r="EB108" i="1"/>
  <c r="EC108" i="1" s="1"/>
  <c r="FI108" i="1" s="1"/>
  <c r="DW108" i="1"/>
  <c r="DX108" i="1" s="1"/>
  <c r="DT108" i="1"/>
  <c r="DU108" i="1" s="1"/>
  <c r="DR108" i="1"/>
  <c r="DN108" i="1"/>
  <c r="DO108" i="1" s="1"/>
  <c r="DK108" i="1"/>
  <c r="DL108" i="1" s="1"/>
  <c r="DH108" i="1"/>
  <c r="FB108" i="1" s="1"/>
  <c r="EB120" i="1"/>
  <c r="EC120" i="1" s="1"/>
  <c r="DW120" i="1"/>
  <c r="DX120" i="1" s="1"/>
  <c r="DT120" i="1"/>
  <c r="DU120" i="1" s="1"/>
  <c r="DR120" i="1"/>
  <c r="DN120" i="1"/>
  <c r="DO120" i="1" s="1"/>
  <c r="DK120" i="1"/>
  <c r="DL120" i="1" s="1"/>
  <c r="DH120" i="1"/>
  <c r="FB120" i="1" s="1"/>
  <c r="EB115" i="1"/>
  <c r="EC115" i="1" s="1"/>
  <c r="EI115" i="1" s="1"/>
  <c r="DW115" i="1"/>
  <c r="DX115" i="1" s="1"/>
  <c r="DT115" i="1"/>
  <c r="DU115" i="1" s="1"/>
  <c r="DR115" i="1"/>
  <c r="DN115" i="1"/>
  <c r="DO115" i="1" s="1"/>
  <c r="DE107" i="1"/>
  <c r="DF107" i="1" s="1"/>
  <c r="DE105" i="1"/>
  <c r="DF105" i="1" s="1"/>
  <c r="DE110" i="1"/>
  <c r="DF110" i="1" s="1"/>
  <c r="DE109" i="1"/>
  <c r="DF109" i="1" s="1"/>
  <c r="DE108" i="1"/>
  <c r="DF108" i="1" s="1"/>
  <c r="DE120" i="1"/>
  <c r="DF120" i="1" s="1"/>
  <c r="DE115" i="1"/>
  <c r="DF115" i="1" s="1"/>
  <c r="DE106" i="1"/>
  <c r="DF106" i="1" s="1"/>
  <c r="GY105" i="1"/>
  <c r="FB3" i="1"/>
  <c r="FB9" i="1"/>
  <c r="FB7" i="1"/>
  <c r="FB5" i="1"/>
  <c r="FB10" i="1"/>
  <c r="FB6" i="1"/>
  <c r="FB8" i="1"/>
  <c r="FB4" i="1"/>
  <c r="FB18" i="1"/>
  <c r="FB19" i="1"/>
  <c r="FB34" i="1"/>
  <c r="FB47" i="1"/>
  <c r="FB134" i="1"/>
  <c r="FB20" i="1"/>
  <c r="FB44" i="1"/>
  <c r="FB21" i="1"/>
  <c r="FB88" i="1"/>
  <c r="FB14" i="1"/>
  <c r="FB77" i="1"/>
  <c r="FB22" i="1"/>
  <c r="FB84" i="1"/>
  <c r="FB17" i="1"/>
  <c r="FB90" i="1"/>
  <c r="FB100" i="1"/>
  <c r="FB26" i="1"/>
  <c r="FB40" i="1"/>
  <c r="FB49" i="1"/>
  <c r="FB15" i="1"/>
  <c r="FB99" i="1"/>
  <c r="FB98" i="1"/>
  <c r="FB42" i="1"/>
  <c r="FB51" i="1"/>
  <c r="FB48" i="1"/>
  <c r="FB104" i="1"/>
  <c r="FB27" i="1"/>
  <c r="FB45" i="1"/>
  <c r="FB39" i="1"/>
  <c r="FB38" i="1"/>
  <c r="FB24" i="1"/>
  <c r="FB41" i="1"/>
  <c r="FB12" i="1"/>
  <c r="FB16" i="1"/>
  <c r="FB13" i="1"/>
  <c r="FB145" i="1"/>
  <c r="FB43" i="1"/>
  <c r="FB36" i="1"/>
  <c r="FB23" i="1"/>
  <c r="FB28" i="1"/>
  <c r="FB29" i="1"/>
  <c r="FB25" i="1"/>
  <c r="FB61" i="1"/>
  <c r="FB30" i="1"/>
  <c r="FB64" i="1"/>
  <c r="FB65" i="1"/>
  <c r="FB32" i="1"/>
  <c r="FB31" i="1"/>
  <c r="FB33" i="1"/>
  <c r="FB35" i="1"/>
  <c r="FB2" i="1"/>
  <c r="CK80" i="1"/>
  <c r="EP61" i="1"/>
  <c r="BM2" i="1"/>
  <c r="BM3" i="1"/>
  <c r="BM68" i="1"/>
  <c r="BM92" i="1"/>
  <c r="BM75" i="1"/>
  <c r="BM94" i="1"/>
  <c r="BM78" i="1"/>
  <c r="BM74" i="1"/>
  <c r="BM108" i="1"/>
  <c r="BM120" i="1"/>
  <c r="BM137" i="1"/>
  <c r="BM96" i="1"/>
  <c r="BM95" i="1"/>
  <c r="BM79" i="1"/>
  <c r="BM115" i="1"/>
  <c r="BM102" i="1"/>
  <c r="BM109" i="1"/>
  <c r="BM121" i="1"/>
  <c r="BM133" i="1"/>
  <c r="BM32" i="1"/>
  <c r="BM136" i="1"/>
  <c r="BM31" i="1"/>
  <c r="BM138" i="1"/>
  <c r="BM139" i="1"/>
  <c r="BM135" i="1"/>
  <c r="BM140" i="1"/>
  <c r="BM33" i="1"/>
  <c r="BM143" i="1"/>
  <c r="BM142" i="1"/>
  <c r="BM144" i="1"/>
  <c r="BM146" i="1"/>
  <c r="BM147" i="1"/>
  <c r="BM148" i="1"/>
  <c r="BM149" i="1"/>
  <c r="BM152" i="1"/>
  <c r="BM150" i="1"/>
  <c r="BM151" i="1"/>
  <c r="BM35" i="1"/>
  <c r="BM141" i="1"/>
  <c r="BM118" i="1"/>
  <c r="BM126" i="1"/>
  <c r="BM80" i="1"/>
  <c r="BM81" i="1"/>
  <c r="BM82" i="1"/>
  <c r="BM83" i="1"/>
  <c r="BM85" i="1"/>
  <c r="BM86" i="1"/>
  <c r="BM87" i="1"/>
  <c r="BM9" i="1"/>
  <c r="BM7" i="1"/>
  <c r="BM5" i="1"/>
  <c r="BM10" i="1"/>
  <c r="BM6" i="1"/>
  <c r="BM8" i="1"/>
  <c r="BM4" i="1"/>
  <c r="BM18" i="1"/>
  <c r="BM19" i="1"/>
  <c r="BM34" i="1"/>
  <c r="BM47" i="1"/>
  <c r="BM134" i="1"/>
  <c r="BM20" i="1"/>
  <c r="BM44" i="1"/>
  <c r="BM21" i="1"/>
  <c r="BM88" i="1"/>
  <c r="BM14" i="1"/>
  <c r="BM77" i="1"/>
  <c r="BM22" i="1"/>
  <c r="BM84" i="1"/>
  <c r="BM17" i="1"/>
  <c r="BM90" i="1"/>
  <c r="BM100" i="1"/>
  <c r="BM26" i="1"/>
  <c r="BM40" i="1"/>
  <c r="BM49" i="1"/>
  <c r="BM15" i="1"/>
  <c r="BM99" i="1"/>
  <c r="BM98" i="1"/>
  <c r="BM42" i="1"/>
  <c r="BM51" i="1"/>
  <c r="BM48" i="1"/>
  <c r="BM104" i="1"/>
  <c r="BM27" i="1"/>
  <c r="BM45" i="1"/>
  <c r="BM39" i="1"/>
  <c r="BM38" i="1"/>
  <c r="BM24" i="1"/>
  <c r="BM41" i="1"/>
  <c r="BM23" i="1"/>
  <c r="BM12" i="1"/>
  <c r="BM16" i="1"/>
  <c r="BM13" i="1"/>
  <c r="BM145" i="1"/>
  <c r="BM64" i="1"/>
  <c r="BM65" i="1"/>
  <c r="BM43" i="1"/>
  <c r="BM36" i="1"/>
  <c r="BM30" i="1"/>
  <c r="BM89" i="1"/>
  <c r="BM91" i="1"/>
  <c r="BM73" i="1"/>
  <c r="BM25" i="1"/>
  <c r="BM61" i="1"/>
  <c r="BM69" i="1"/>
  <c r="BM112" i="1"/>
  <c r="BM93" i="1"/>
  <c r="BM54" i="1"/>
  <c r="BM11" i="1"/>
  <c r="BM63" i="1"/>
  <c r="BM60" i="1"/>
  <c r="BM70" i="1"/>
  <c r="BM28" i="1"/>
  <c r="BM58" i="1"/>
  <c r="BM59" i="1"/>
  <c r="BM62" i="1"/>
  <c r="BM29" i="1"/>
  <c r="BM56" i="1"/>
  <c r="BM113" i="1"/>
  <c r="BM57" i="1"/>
  <c r="BM71" i="1"/>
  <c r="BM114" i="1"/>
  <c r="BM66" i="1"/>
  <c r="BM72" i="1"/>
  <c r="BM67" i="1"/>
  <c r="BM76" i="1"/>
  <c r="GH32" i="1"/>
  <c r="FY32" i="1" s="1"/>
  <c r="GH138" i="1"/>
  <c r="GK138" i="1" s="1"/>
  <c r="GH139" i="1"/>
  <c r="GH143" i="1"/>
  <c r="GK143" i="1" s="1"/>
  <c r="GH142" i="1"/>
  <c r="GH144" i="1"/>
  <c r="FY144" i="1" s="1"/>
  <c r="GH146" i="1"/>
  <c r="GZ58" i="1"/>
  <c r="GZ62" i="1"/>
  <c r="GZ72" i="1"/>
  <c r="GZ85" i="1"/>
  <c r="GZ86" i="1"/>
  <c r="GZ87" i="1"/>
  <c r="GZ67" i="1"/>
  <c r="GZ11" i="1"/>
  <c r="GZ68" i="1"/>
  <c r="GZ63" i="1"/>
  <c r="GZ59" i="1"/>
  <c r="GZ66" i="1"/>
  <c r="GZ60" i="1"/>
  <c r="HD93" i="1"/>
  <c r="ED35" i="1"/>
  <c r="ED33" i="1"/>
  <c r="ED31" i="1"/>
  <c r="ED32" i="1"/>
  <c r="ED54" i="1"/>
  <c r="BQ76" i="1"/>
  <c r="BQ93" i="1"/>
  <c r="BQ89" i="1"/>
  <c r="BQ113" i="1"/>
  <c r="BQ114" i="1"/>
  <c r="BQ112" i="1"/>
  <c r="BQ91" i="1"/>
  <c r="BQ75" i="1"/>
  <c r="BQ74" i="1"/>
  <c r="BQ78" i="1"/>
  <c r="BQ79" i="1"/>
  <c r="BQ94" i="1"/>
  <c r="BQ95" i="1"/>
  <c r="BQ96" i="1"/>
  <c r="BQ92" i="1"/>
  <c r="BQ54" i="1"/>
  <c r="BQ80" i="1"/>
  <c r="BQ81" i="1"/>
  <c r="BQ82" i="1"/>
  <c r="BQ118" i="1"/>
  <c r="BQ83" i="1"/>
  <c r="BQ102" i="1"/>
  <c r="BQ85" i="1"/>
  <c r="BQ86" i="1"/>
  <c r="BQ87" i="1"/>
  <c r="BQ115" i="1"/>
  <c r="BQ120" i="1"/>
  <c r="BQ108" i="1"/>
  <c r="BQ109" i="1"/>
  <c r="BQ136" i="1"/>
  <c r="BQ31" i="1"/>
  <c r="BQ137" i="1"/>
  <c r="BQ138" i="1"/>
  <c r="BQ139" i="1"/>
  <c r="BQ135" i="1"/>
  <c r="BQ140" i="1"/>
  <c r="BQ142" i="1"/>
  <c r="BQ143" i="1"/>
  <c r="BQ144" i="1"/>
  <c r="BQ146" i="1"/>
  <c r="BQ147" i="1"/>
  <c r="BQ148" i="1"/>
  <c r="BQ149" i="1"/>
  <c r="BQ152" i="1"/>
  <c r="BQ150" i="1"/>
  <c r="BQ151" i="1"/>
  <c r="BQ141" i="1"/>
  <c r="BQ133" i="1"/>
  <c r="BQ121" i="1"/>
  <c r="BQ32" i="1"/>
  <c r="BQ33" i="1"/>
  <c r="BQ35" i="1"/>
  <c r="BQ56" i="1"/>
  <c r="BQ126" i="1"/>
  <c r="BQ68" i="1"/>
  <c r="BQ66" i="1"/>
  <c r="BQ72" i="1"/>
  <c r="BQ67" i="1"/>
  <c r="BQ73" i="1"/>
  <c r="BQ71" i="1"/>
  <c r="BQ11" i="1"/>
  <c r="BQ27" i="1"/>
  <c r="BQ28" i="1"/>
  <c r="BQ29" i="1"/>
  <c r="BQ145" i="1"/>
  <c r="BQ61" i="1"/>
  <c r="BQ70" i="1"/>
  <c r="BQ69" i="1"/>
  <c r="BQ30" i="1"/>
  <c r="BQ64" i="1"/>
  <c r="BQ65" i="1"/>
  <c r="BQ24" i="1"/>
  <c r="BQ62" i="1"/>
  <c r="BQ25" i="1"/>
  <c r="BQ58" i="1"/>
  <c r="BQ23" i="1"/>
  <c r="BQ59" i="1"/>
  <c r="BQ60" i="1"/>
  <c r="BQ12" i="1"/>
  <c r="BQ16" i="1"/>
  <c r="BQ38" i="1"/>
  <c r="BQ51" i="1"/>
  <c r="BQ45" i="1"/>
  <c r="BQ48" i="1"/>
  <c r="BQ43" i="1"/>
  <c r="BQ36" i="1"/>
  <c r="BQ41" i="1"/>
  <c r="BQ39" i="1"/>
  <c r="BQ13" i="1"/>
  <c r="BQ63" i="1"/>
  <c r="BQ90" i="1"/>
  <c r="BQ26" i="1"/>
  <c r="BQ84" i="1"/>
  <c r="BQ99" i="1"/>
  <c r="BQ100" i="1"/>
  <c r="BQ98" i="1"/>
  <c r="BQ42" i="1"/>
  <c r="BQ49" i="1"/>
  <c r="BQ104" i="1"/>
  <c r="BQ15" i="1"/>
  <c r="BQ17" i="1"/>
  <c r="BQ40" i="1"/>
  <c r="FY11" i="1"/>
  <c r="FY63" i="1"/>
  <c r="FY59" i="1"/>
  <c r="FY60" i="1"/>
  <c r="FY58" i="1"/>
  <c r="FY62" i="1"/>
  <c r="FY68" i="1"/>
  <c r="FY66" i="1"/>
  <c r="FY72" i="1"/>
  <c r="FY67" i="1"/>
  <c r="FY35" i="1"/>
  <c r="DR95" i="1"/>
  <c r="DT95" i="1"/>
  <c r="DU95" i="1" s="1"/>
  <c r="DA109" i="1"/>
  <c r="DA108" i="1"/>
  <c r="DA120" i="1"/>
  <c r="GB112" i="1"/>
  <c r="GB93" i="1"/>
  <c r="GB89" i="1"/>
  <c r="GB71" i="1"/>
  <c r="GB69" i="1"/>
  <c r="GB65" i="1"/>
  <c r="HK65" i="1" s="1"/>
  <c r="GB64" i="1"/>
  <c r="GB30" i="1"/>
  <c r="GB61" i="1"/>
  <c r="GB23" i="1"/>
  <c r="GB24" i="1"/>
  <c r="GB145" i="1"/>
  <c r="GB16" i="1"/>
  <c r="HK16" i="1" s="1"/>
  <c r="GB12" i="1"/>
  <c r="GB13" i="1"/>
  <c r="GB39" i="1"/>
  <c r="GB41" i="1"/>
  <c r="GB36" i="1"/>
  <c r="FZ11" i="1"/>
  <c r="HE11" i="1" s="1"/>
  <c r="FZ63" i="1"/>
  <c r="FZ59" i="1"/>
  <c r="GC59" i="1" s="1"/>
  <c r="HE60" i="1"/>
  <c r="FZ58" i="1"/>
  <c r="GO58" i="1" s="1"/>
  <c r="FZ62" i="1"/>
  <c r="EW62" i="1" s="1"/>
  <c r="FZ68" i="1"/>
  <c r="EW68" i="1" s="1"/>
  <c r="FZ66" i="1"/>
  <c r="GO66" i="1" s="1"/>
  <c r="FZ72" i="1"/>
  <c r="EW72" i="1" s="1"/>
  <c r="FZ67" i="1"/>
  <c r="HE67" i="1" s="1"/>
  <c r="FZ35" i="1"/>
  <c r="HF35" i="1" s="1"/>
  <c r="GQ157" i="1"/>
  <c r="GR29" i="1"/>
  <c r="GR28" i="1"/>
  <c r="GB28" i="1" s="1"/>
  <c r="EB89" i="1"/>
  <c r="EC89" i="1" s="1"/>
  <c r="EL89" i="1" s="1"/>
  <c r="EB93" i="1"/>
  <c r="EK93" i="1" s="1"/>
  <c r="EB91" i="1"/>
  <c r="EB113" i="1"/>
  <c r="EC113" i="1" s="1"/>
  <c r="EE113" i="1" s="1"/>
  <c r="EB114" i="1"/>
  <c r="EB112" i="1"/>
  <c r="EB78" i="1"/>
  <c r="EB79" i="1"/>
  <c r="EC79" i="1" s="1"/>
  <c r="EL79" i="1" s="1"/>
  <c r="EB75" i="1"/>
  <c r="EC75" i="1" s="1"/>
  <c r="EL75" i="1" s="1"/>
  <c r="EB92" i="1"/>
  <c r="EC92" i="1" s="1"/>
  <c r="DC92" i="1" s="1"/>
  <c r="EB94" i="1"/>
  <c r="EB95" i="1"/>
  <c r="EC95" i="1" s="1"/>
  <c r="EL95" i="1" s="1"/>
  <c r="EB74" i="1"/>
  <c r="EB96" i="1"/>
  <c r="EC96" i="1" s="1"/>
  <c r="FI96" i="1" s="1"/>
  <c r="CQ126" i="1"/>
  <c r="CQ56" i="1"/>
  <c r="CQ57" i="1"/>
  <c r="CQ35" i="1"/>
  <c r="CQ33" i="1"/>
  <c r="CQ109" i="1"/>
  <c r="CQ108" i="1"/>
  <c r="CQ32" i="1"/>
  <c r="CQ120" i="1"/>
  <c r="CQ151" i="1"/>
  <c r="CQ150" i="1"/>
  <c r="CQ152" i="1"/>
  <c r="CQ149" i="1"/>
  <c r="CQ148" i="1"/>
  <c r="CQ147" i="1"/>
  <c r="CQ146" i="1"/>
  <c r="CQ144" i="1"/>
  <c r="CQ143" i="1"/>
  <c r="CQ142" i="1"/>
  <c r="CQ140" i="1"/>
  <c r="CQ139" i="1"/>
  <c r="CQ138" i="1"/>
  <c r="CQ137" i="1"/>
  <c r="CQ141" i="1"/>
  <c r="CQ135" i="1"/>
  <c r="CQ121" i="1"/>
  <c r="CQ133" i="1"/>
  <c r="CQ31" i="1"/>
  <c r="CQ136" i="1"/>
  <c r="CQ96" i="1"/>
  <c r="CQ74" i="1"/>
  <c r="CQ95" i="1"/>
  <c r="CQ94" i="1"/>
  <c r="CQ92" i="1"/>
  <c r="CQ75" i="1"/>
  <c r="CQ79" i="1"/>
  <c r="CQ78" i="1"/>
  <c r="CQ51" i="1"/>
  <c r="CQ45" i="1"/>
  <c r="CQ38" i="1"/>
  <c r="CQ48" i="1"/>
  <c r="CQ43" i="1"/>
  <c r="CQ36" i="1"/>
  <c r="CQ41" i="1"/>
  <c r="CQ39" i="1"/>
  <c r="CQ13" i="1"/>
  <c r="CQ27" i="1"/>
  <c r="CQ12" i="1"/>
  <c r="CQ16" i="1"/>
  <c r="CQ145" i="1"/>
  <c r="CQ24" i="1"/>
  <c r="CQ23" i="1"/>
  <c r="CQ28" i="1"/>
  <c r="CQ25" i="1"/>
  <c r="CQ61" i="1"/>
  <c r="CQ30" i="1"/>
  <c r="CQ64" i="1"/>
  <c r="CQ65" i="1"/>
  <c r="CQ59" i="1"/>
  <c r="CQ62" i="1"/>
  <c r="CQ70" i="1"/>
  <c r="CQ69" i="1"/>
  <c r="CQ73" i="1"/>
  <c r="CQ76" i="1"/>
  <c r="CQ71" i="1"/>
  <c r="CQ89" i="1"/>
  <c r="CQ93" i="1"/>
  <c r="CQ91" i="1"/>
  <c r="CQ113" i="1"/>
  <c r="CQ114" i="1"/>
  <c r="CQ112" i="1"/>
  <c r="CN126" i="1"/>
  <c r="CN56" i="1"/>
  <c r="CN57" i="1"/>
  <c r="CN35" i="1"/>
  <c r="CN33" i="1"/>
  <c r="CN109" i="1"/>
  <c r="CN108" i="1"/>
  <c r="CN32" i="1"/>
  <c r="CN106" i="1"/>
  <c r="CN110" i="1"/>
  <c r="CN120" i="1"/>
  <c r="CN151" i="1"/>
  <c r="CN150" i="1"/>
  <c r="CN152" i="1"/>
  <c r="CN149" i="1"/>
  <c r="CN148" i="1"/>
  <c r="CN147" i="1"/>
  <c r="CN146" i="1"/>
  <c r="CN144" i="1"/>
  <c r="CN143" i="1"/>
  <c r="CN142" i="1"/>
  <c r="CN140" i="1"/>
  <c r="CN139" i="1"/>
  <c r="CN138" i="1"/>
  <c r="CN137" i="1"/>
  <c r="CN141" i="1"/>
  <c r="CN135" i="1"/>
  <c r="CN121" i="1"/>
  <c r="CN133" i="1"/>
  <c r="CN31" i="1"/>
  <c r="CN136" i="1"/>
  <c r="CN96" i="1"/>
  <c r="CN74" i="1"/>
  <c r="CN95" i="1"/>
  <c r="CN94" i="1"/>
  <c r="CN92" i="1"/>
  <c r="CN75" i="1"/>
  <c r="CN79" i="1"/>
  <c r="CN78" i="1"/>
  <c r="CN45" i="1"/>
  <c r="CN38" i="1"/>
  <c r="CN48" i="1"/>
  <c r="CN43" i="1"/>
  <c r="CN36" i="1"/>
  <c r="CN41" i="1"/>
  <c r="CN39" i="1"/>
  <c r="CN13" i="1"/>
  <c r="CN27" i="1"/>
  <c r="CN12" i="1"/>
  <c r="CN16" i="1"/>
  <c r="CN145" i="1"/>
  <c r="CN24" i="1"/>
  <c r="CN23" i="1"/>
  <c r="CN28" i="1"/>
  <c r="CN25" i="1"/>
  <c r="CN61" i="1"/>
  <c r="CN30" i="1"/>
  <c r="CN64" i="1"/>
  <c r="CN65" i="1"/>
  <c r="CN59" i="1"/>
  <c r="CN62" i="1"/>
  <c r="CN70" i="1"/>
  <c r="CN69" i="1"/>
  <c r="CN73" i="1"/>
  <c r="CN76" i="1"/>
  <c r="CN71" i="1"/>
  <c r="CN89" i="1"/>
  <c r="CN93" i="1"/>
  <c r="CN91" i="1"/>
  <c r="CN113" i="1"/>
  <c r="CN114" i="1"/>
  <c r="CN112" i="1"/>
  <c r="CN54" i="1"/>
  <c r="CK126" i="1"/>
  <c r="CK56" i="1"/>
  <c r="CK57" i="1"/>
  <c r="CK35" i="1"/>
  <c r="CK33" i="1"/>
  <c r="CK109" i="1"/>
  <c r="CK108" i="1"/>
  <c r="CK32" i="1"/>
  <c r="CK106" i="1"/>
  <c r="CK110" i="1"/>
  <c r="CK120" i="1"/>
  <c r="CK151" i="1"/>
  <c r="CK150" i="1"/>
  <c r="CK152" i="1"/>
  <c r="CK149" i="1"/>
  <c r="CK148" i="1"/>
  <c r="CK147" i="1"/>
  <c r="CK146" i="1"/>
  <c r="CK144" i="1"/>
  <c r="CK143" i="1"/>
  <c r="CK142" i="1"/>
  <c r="CK140" i="1"/>
  <c r="CK139" i="1"/>
  <c r="CK138" i="1"/>
  <c r="CK137" i="1"/>
  <c r="CK141" i="1"/>
  <c r="CK135" i="1"/>
  <c r="CK121" i="1"/>
  <c r="CK133" i="1"/>
  <c r="CK31" i="1"/>
  <c r="CK136" i="1"/>
  <c r="CK96" i="1"/>
  <c r="CK74" i="1"/>
  <c r="CK95" i="1"/>
  <c r="CK94" i="1"/>
  <c r="CK92" i="1"/>
  <c r="CK75" i="1"/>
  <c r="CK79" i="1"/>
  <c r="CK78" i="1"/>
  <c r="CK100" i="1"/>
  <c r="CK98" i="1"/>
  <c r="CK42" i="1"/>
  <c r="CK49" i="1"/>
  <c r="CK104" i="1"/>
  <c r="CK15" i="1"/>
  <c r="CK17" i="1"/>
  <c r="CK51" i="1"/>
  <c r="CK45" i="1"/>
  <c r="CK38" i="1"/>
  <c r="CK48" i="1"/>
  <c r="CK43" i="1"/>
  <c r="CK36" i="1"/>
  <c r="CK41" i="1"/>
  <c r="CK39" i="1"/>
  <c r="CK13" i="1"/>
  <c r="CK27" i="1"/>
  <c r="CK12" i="1"/>
  <c r="CK16" i="1"/>
  <c r="CK145" i="1"/>
  <c r="CK24" i="1"/>
  <c r="CK23" i="1"/>
  <c r="CK28" i="1"/>
  <c r="CK29" i="1"/>
  <c r="CK25" i="1"/>
  <c r="CK61" i="1"/>
  <c r="CK30" i="1"/>
  <c r="CK64" i="1"/>
  <c r="CK65" i="1"/>
  <c r="CK11" i="1"/>
  <c r="CK63" i="1"/>
  <c r="CK59" i="1"/>
  <c r="CK60" i="1"/>
  <c r="CK58" i="1"/>
  <c r="CK62" i="1"/>
  <c r="CK70" i="1"/>
  <c r="CK69" i="1"/>
  <c r="CK73" i="1"/>
  <c r="CK76" i="1"/>
  <c r="CK71" i="1"/>
  <c r="CK89" i="1"/>
  <c r="CK93" i="1"/>
  <c r="CK91" i="1"/>
  <c r="CK113" i="1"/>
  <c r="CK114" i="1"/>
  <c r="CK112" i="1"/>
  <c r="CK54" i="1"/>
  <c r="CH126" i="1"/>
  <c r="CH56" i="1"/>
  <c r="CH57" i="1"/>
  <c r="CH35" i="1"/>
  <c r="CH33" i="1"/>
  <c r="CH109" i="1"/>
  <c r="CH108" i="1"/>
  <c r="CH32" i="1"/>
  <c r="CH106" i="1"/>
  <c r="CH110" i="1"/>
  <c r="CH115" i="1"/>
  <c r="CH120" i="1"/>
  <c r="CH151" i="1"/>
  <c r="CH150" i="1"/>
  <c r="CH152" i="1"/>
  <c r="CH149" i="1"/>
  <c r="CH148" i="1"/>
  <c r="CH147" i="1"/>
  <c r="CH146" i="1"/>
  <c r="CH144" i="1"/>
  <c r="CH143" i="1"/>
  <c r="CH142" i="1"/>
  <c r="CH140" i="1"/>
  <c r="CH139" i="1"/>
  <c r="CH138" i="1"/>
  <c r="CH137" i="1"/>
  <c r="CH141" i="1"/>
  <c r="CH135" i="1"/>
  <c r="CH121" i="1"/>
  <c r="CH133" i="1"/>
  <c r="CH31" i="1"/>
  <c r="CH136" i="1"/>
  <c r="CH87" i="1"/>
  <c r="CH86" i="1"/>
  <c r="CH85" i="1"/>
  <c r="CH102" i="1"/>
  <c r="CH83" i="1"/>
  <c r="CH118" i="1"/>
  <c r="CH82" i="1"/>
  <c r="CH81" i="1"/>
  <c r="CH80" i="1"/>
  <c r="CH96" i="1"/>
  <c r="CH74" i="1"/>
  <c r="CH95" i="1"/>
  <c r="CH94" i="1"/>
  <c r="CH92" i="1"/>
  <c r="CH75" i="1"/>
  <c r="CH79" i="1"/>
  <c r="CH78" i="1"/>
  <c r="CH73" i="1"/>
  <c r="CH76" i="1"/>
  <c r="CH71" i="1"/>
  <c r="CH89" i="1"/>
  <c r="CH93" i="1"/>
  <c r="CH91" i="1"/>
  <c r="CH113" i="1"/>
  <c r="CH114" i="1"/>
  <c r="CH112" i="1"/>
  <c r="CH25" i="1"/>
  <c r="CH61" i="1"/>
  <c r="CH30" i="1"/>
  <c r="CH64" i="1"/>
  <c r="CH65" i="1"/>
  <c r="CH11" i="1"/>
  <c r="CH63" i="1"/>
  <c r="CH59" i="1"/>
  <c r="CH60" i="1"/>
  <c r="CH58" i="1"/>
  <c r="CH62" i="1"/>
  <c r="CH70" i="1"/>
  <c r="CH69" i="1"/>
  <c r="CH29" i="1"/>
  <c r="CH45" i="1"/>
  <c r="CH38" i="1"/>
  <c r="CH48" i="1"/>
  <c r="CH43" i="1"/>
  <c r="CH36" i="1"/>
  <c r="CH41" i="1"/>
  <c r="CH39" i="1"/>
  <c r="CH13" i="1"/>
  <c r="CH27" i="1"/>
  <c r="CH12" i="1"/>
  <c r="CH16" i="1"/>
  <c r="CH145" i="1"/>
  <c r="CH24" i="1"/>
  <c r="CH23" i="1"/>
  <c r="CH28" i="1"/>
  <c r="CE126" i="1"/>
  <c r="CE56" i="1"/>
  <c r="CE57" i="1"/>
  <c r="CE35" i="1"/>
  <c r="CE33" i="1"/>
  <c r="CE109" i="1"/>
  <c r="CE108" i="1"/>
  <c r="CE32" i="1"/>
  <c r="CE106" i="1"/>
  <c r="CE110" i="1"/>
  <c r="CE115" i="1"/>
  <c r="CE120" i="1"/>
  <c r="CE151" i="1"/>
  <c r="CE150" i="1"/>
  <c r="CE152" i="1"/>
  <c r="CE149" i="1"/>
  <c r="CE148" i="1"/>
  <c r="CE147" i="1"/>
  <c r="CE146" i="1"/>
  <c r="CE144" i="1"/>
  <c r="CE143" i="1"/>
  <c r="CE142" i="1"/>
  <c r="CE140" i="1"/>
  <c r="CE139" i="1"/>
  <c r="CE138" i="1"/>
  <c r="CE137" i="1"/>
  <c r="CE141" i="1"/>
  <c r="CE135" i="1"/>
  <c r="CE121" i="1"/>
  <c r="CE133" i="1"/>
  <c r="CE31" i="1"/>
  <c r="CE136" i="1"/>
  <c r="CE87" i="1"/>
  <c r="CE86" i="1"/>
  <c r="CE85" i="1"/>
  <c r="CE102" i="1"/>
  <c r="CE83" i="1"/>
  <c r="CE118" i="1"/>
  <c r="CE82" i="1"/>
  <c r="CE81" i="1"/>
  <c r="CE80" i="1"/>
  <c r="CE96" i="1"/>
  <c r="CE74" i="1"/>
  <c r="CE95" i="1"/>
  <c r="CE94" i="1"/>
  <c r="CE92" i="1"/>
  <c r="CE75" i="1"/>
  <c r="CE79" i="1"/>
  <c r="CE78" i="1"/>
  <c r="CE54" i="1"/>
  <c r="CE112" i="1"/>
  <c r="CE114" i="1"/>
  <c r="CE113" i="1"/>
  <c r="CE91" i="1"/>
  <c r="CE93" i="1"/>
  <c r="CE89" i="1"/>
  <c r="CE71" i="1"/>
  <c r="CE76" i="1"/>
  <c r="CE73" i="1"/>
  <c r="CE67" i="1"/>
  <c r="CE72" i="1"/>
  <c r="CE66" i="1"/>
  <c r="CE68" i="1"/>
  <c r="CE70" i="1"/>
  <c r="CE19" i="1"/>
  <c r="CE88" i="1"/>
  <c r="CE34" i="1"/>
  <c r="CE14" i="1"/>
  <c r="CE134" i="1"/>
  <c r="CE22" i="1"/>
  <c r="CE21" i="1"/>
  <c r="CE40" i="1"/>
  <c r="CE26" i="1"/>
  <c r="CE84" i="1"/>
  <c r="CE99" i="1"/>
  <c r="CE100" i="1"/>
  <c r="CE98" i="1"/>
  <c r="CE42" i="1"/>
  <c r="CE49" i="1"/>
  <c r="CE104" i="1"/>
  <c r="CE15" i="1"/>
  <c r="CE17" i="1"/>
  <c r="CE51" i="1"/>
  <c r="CE45" i="1"/>
  <c r="CE38" i="1"/>
  <c r="CE48" i="1"/>
  <c r="CE43" i="1"/>
  <c r="CE36" i="1"/>
  <c r="CE41" i="1"/>
  <c r="CE39" i="1"/>
  <c r="CE13" i="1"/>
  <c r="CE27" i="1"/>
  <c r="CE12" i="1"/>
  <c r="CE16" i="1"/>
  <c r="CE145" i="1"/>
  <c r="CE24" i="1"/>
  <c r="CE23" i="1"/>
  <c r="CE28" i="1"/>
  <c r="CE29" i="1"/>
  <c r="CE25" i="1"/>
  <c r="CE61" i="1"/>
  <c r="CE30" i="1"/>
  <c r="CE64" i="1"/>
  <c r="CE65" i="1"/>
  <c r="CE11" i="1"/>
  <c r="HI114" i="1"/>
  <c r="HD113" i="1"/>
  <c r="HD91" i="1"/>
  <c r="HD71" i="1"/>
  <c r="GR76" i="1"/>
  <c r="GB76" i="1" s="1"/>
  <c r="GH74" i="1"/>
  <c r="GH75" i="1"/>
  <c r="GH79" i="1"/>
  <c r="GH78" i="1"/>
  <c r="GK78" i="1" s="1"/>
  <c r="GH96" i="1"/>
  <c r="GK96" i="1" s="1"/>
  <c r="GB2" i="1"/>
  <c r="HJ2" i="1" s="1"/>
  <c r="GB10" i="1"/>
  <c r="HK10" i="1" s="1"/>
  <c r="GB7" i="1"/>
  <c r="HJ7" i="1" s="1"/>
  <c r="GB8" i="1"/>
  <c r="HJ8" i="1" s="1"/>
  <c r="GB9" i="1"/>
  <c r="HK9" i="1" s="1"/>
  <c r="GB5" i="1"/>
  <c r="HK5" i="1" s="1"/>
  <c r="GB6" i="1"/>
  <c r="GB3" i="1"/>
  <c r="HK3" i="1" s="1"/>
  <c r="GB4" i="1"/>
  <c r="GB20" i="1"/>
  <c r="HK20" i="1" s="1"/>
  <c r="GB77" i="1"/>
  <c r="GB44" i="1"/>
  <c r="HK44" i="1" s="1"/>
  <c r="GB47" i="1"/>
  <c r="HJ47" i="1" s="1"/>
  <c r="GB18" i="1"/>
  <c r="HK18" i="1" s="1"/>
  <c r="GB19" i="1"/>
  <c r="GB88" i="1"/>
  <c r="HJ88" i="1" s="1"/>
  <c r="GB34" i="1"/>
  <c r="GB14" i="1"/>
  <c r="HK14" i="1" s="1"/>
  <c r="GB134" i="1"/>
  <c r="HK134" i="1" s="1"/>
  <c r="GB22" i="1"/>
  <c r="HK22" i="1" s="1"/>
  <c r="GB21" i="1"/>
  <c r="HJ21" i="1" s="1"/>
  <c r="GB40" i="1"/>
  <c r="HK40" i="1" s="1"/>
  <c r="GB90" i="1"/>
  <c r="HK90" i="1" s="1"/>
  <c r="GB26" i="1"/>
  <c r="HK26" i="1" s="1"/>
  <c r="GB84" i="1"/>
  <c r="GB99" i="1"/>
  <c r="HK99" i="1" s="1"/>
  <c r="GB100" i="1"/>
  <c r="HK100" i="1" s="1"/>
  <c r="GB98" i="1"/>
  <c r="HK98" i="1" s="1"/>
  <c r="GB42" i="1"/>
  <c r="HJ42" i="1" s="1"/>
  <c r="GB49" i="1"/>
  <c r="HK49" i="1" s="1"/>
  <c r="GB15" i="1"/>
  <c r="GB17" i="1"/>
  <c r="HK17" i="1" s="1"/>
  <c r="GB51" i="1"/>
  <c r="HK51" i="1" s="1"/>
  <c r="EE35" i="1"/>
  <c r="EE33" i="1"/>
  <c r="EE32" i="1"/>
  <c r="EE31" i="1"/>
  <c r="HD30" i="1"/>
  <c r="HD24" i="1"/>
  <c r="HD27" i="1"/>
  <c r="HI25" i="1"/>
  <c r="EE29" i="1"/>
  <c r="EE11" i="1"/>
  <c r="EE28" i="1"/>
  <c r="EE25" i="1"/>
  <c r="EE43" i="1"/>
  <c r="EE36" i="1"/>
  <c r="EE145" i="1"/>
  <c r="EE23" i="1"/>
  <c r="EE24" i="1"/>
  <c r="EE16" i="1"/>
  <c r="EE12" i="1"/>
  <c r="EE41" i="1"/>
  <c r="EE13" i="1"/>
  <c r="EE48" i="1"/>
  <c r="EE45" i="1"/>
  <c r="EE39" i="1"/>
  <c r="EE27" i="1"/>
  <c r="HI54" i="1"/>
  <c r="GR70" i="1"/>
  <c r="HI57" i="1"/>
  <c r="GB141" i="1"/>
  <c r="GB35" i="1"/>
  <c r="HK35" i="1" s="1"/>
  <c r="GB152" i="1"/>
  <c r="HK152" i="1" s="1"/>
  <c r="GB151" i="1"/>
  <c r="HK151" i="1" s="1"/>
  <c r="GB150" i="1"/>
  <c r="HJ150" i="1" s="1"/>
  <c r="GB149" i="1"/>
  <c r="HJ149" i="1" s="1"/>
  <c r="GB148" i="1"/>
  <c r="HJ148" i="1" s="1"/>
  <c r="GB147" i="1"/>
  <c r="HJ147" i="1" s="1"/>
  <c r="GB146" i="1"/>
  <c r="HJ146" i="1" s="1"/>
  <c r="GB144" i="1"/>
  <c r="HJ144" i="1" s="1"/>
  <c r="GB143" i="1"/>
  <c r="HK143" i="1" s="1"/>
  <c r="GB142" i="1"/>
  <c r="HK142" i="1" s="1"/>
  <c r="GB33" i="1"/>
  <c r="HJ33" i="1" s="1"/>
  <c r="GB139" i="1"/>
  <c r="HK139" i="1" s="1"/>
  <c r="GB138" i="1"/>
  <c r="HK138" i="1" s="1"/>
  <c r="GB32" i="1"/>
  <c r="HK32" i="1" s="1"/>
  <c r="GB96" i="1"/>
  <c r="GB74" i="1"/>
  <c r="HJ74" i="1" s="1"/>
  <c r="GB95" i="1"/>
  <c r="HJ95" i="1" s="1"/>
  <c r="GB94" i="1"/>
  <c r="HK94" i="1" s="1"/>
  <c r="GB92" i="1"/>
  <c r="GB75" i="1"/>
  <c r="HJ75" i="1" s="1"/>
  <c r="GB79" i="1"/>
  <c r="HK79" i="1" s="1"/>
  <c r="GB78" i="1"/>
  <c r="HK78" i="1" s="1"/>
  <c r="GB54" i="1"/>
  <c r="GB56" i="1"/>
  <c r="GB57" i="1"/>
  <c r="GB72" i="1"/>
  <c r="HK72" i="1" s="1"/>
  <c r="GB67" i="1"/>
  <c r="GB66" i="1"/>
  <c r="HJ66" i="1" s="1"/>
  <c r="GB11" i="1"/>
  <c r="GB59" i="1"/>
  <c r="HK59" i="1" s="1"/>
  <c r="GB63" i="1"/>
  <c r="GB58" i="1"/>
  <c r="HJ58" i="1" s="1"/>
  <c r="GB62" i="1"/>
  <c r="HJ62" i="1" s="1"/>
  <c r="GB60" i="1"/>
  <c r="HK60" i="1" s="1"/>
  <c r="GB48" i="1"/>
  <c r="GB43" i="1"/>
  <c r="AL56" i="1"/>
  <c r="BD10" i="1"/>
  <c r="BC7" i="1"/>
  <c r="EB76" i="1"/>
  <c r="EK76" i="1" s="1"/>
  <c r="HC36" i="1"/>
  <c r="ES41" i="1"/>
  <c r="CV112" i="1"/>
  <c r="CV73" i="1"/>
  <c r="CV89" i="1"/>
  <c r="CV71" i="1"/>
  <c r="CV76" i="1"/>
  <c r="CV113" i="1"/>
  <c r="CV91" i="1"/>
  <c r="CV94" i="1"/>
  <c r="CV95" i="1"/>
  <c r="CV78" i="1"/>
  <c r="CV79" i="1"/>
  <c r="CV74" i="1"/>
  <c r="CV75" i="1"/>
  <c r="CV96" i="1"/>
  <c r="CV92" i="1"/>
  <c r="CV114" i="1"/>
  <c r="CV56" i="1"/>
  <c r="CV57" i="1"/>
  <c r="CZ120" i="1"/>
  <c r="CZ115" i="1"/>
  <c r="CZ32" i="1"/>
  <c r="CZ108" i="1"/>
  <c r="CZ109" i="1"/>
  <c r="CZ33" i="1"/>
  <c r="CZ35" i="1"/>
  <c r="CZ31" i="1"/>
  <c r="EF35" i="1"/>
  <c r="EF33" i="1"/>
  <c r="EF32" i="1"/>
  <c r="EF31" i="1"/>
  <c r="EF29" i="1"/>
  <c r="EF25" i="1"/>
  <c r="EF28" i="1"/>
  <c r="EF27" i="1"/>
  <c r="EF24" i="1"/>
  <c r="EF23" i="1"/>
  <c r="EF41" i="1"/>
  <c r="EF12" i="1"/>
  <c r="EF36" i="1"/>
  <c r="EF13" i="1"/>
  <c r="EF39" i="1"/>
  <c r="EF145" i="1"/>
  <c r="ET12" i="1"/>
  <c r="GT148" i="1"/>
  <c r="AL35" i="1"/>
  <c r="S32" i="1"/>
  <c r="T32" i="1"/>
  <c r="U32" i="1"/>
  <c r="AE32" i="1"/>
  <c r="GN157" i="1"/>
  <c r="GF157" i="1"/>
  <c r="P156" i="1"/>
  <c r="R156" i="1" s="1"/>
  <c r="T157" i="1"/>
  <c r="Y156" i="1"/>
  <c r="W156" i="1"/>
  <c r="V156" i="1"/>
  <c r="U156" i="1"/>
  <c r="T156" i="1"/>
  <c r="GS106" i="1"/>
  <c r="S106" i="1"/>
  <c r="T106" i="1"/>
  <c r="U106" i="1"/>
  <c r="U126" i="1"/>
  <c r="O126" i="1"/>
  <c r="O31" i="1"/>
  <c r="S31" i="1" s="1"/>
  <c r="U31" i="1"/>
  <c r="U110" i="1"/>
  <c r="V31" i="1"/>
  <c r="I200" i="1"/>
  <c r="M206" i="1"/>
  <c r="M205" i="1"/>
  <c r="M204" i="1"/>
  <c r="M203" i="1"/>
  <c r="M202" i="1"/>
  <c r="M201" i="1"/>
  <c r="M200" i="1"/>
  <c r="O206" i="1"/>
  <c r="O205" i="1"/>
  <c r="O204" i="1"/>
  <c r="O203" i="1"/>
  <c r="O202" i="1"/>
  <c r="O201" i="1"/>
  <c r="O200" i="1"/>
  <c r="G200" i="1"/>
  <c r="GH94" i="1"/>
  <c r="FY94" i="1" s="1"/>
  <c r="GH95" i="1"/>
  <c r="BC78" i="1"/>
  <c r="BC75" i="1"/>
  <c r="BC74" i="1"/>
  <c r="BC96" i="1"/>
  <c r="BC79" i="1"/>
  <c r="BC95" i="1"/>
  <c r="BC94" i="1"/>
  <c r="BC61" i="1"/>
  <c r="BC145" i="1"/>
  <c r="BC104" i="1"/>
  <c r="BC43" i="1"/>
  <c r="BC45" i="1"/>
  <c r="BC10" i="1"/>
  <c r="BC8" i="1"/>
  <c r="BC9" i="1"/>
  <c r="BD96" i="1"/>
  <c r="CZ118" i="1"/>
  <c r="CV118" i="1"/>
  <c r="CZ87" i="1"/>
  <c r="CV87" i="1"/>
  <c r="CZ81" i="1"/>
  <c r="CV81" i="1"/>
  <c r="CZ86" i="1"/>
  <c r="CV86" i="1"/>
  <c r="CZ102" i="1"/>
  <c r="CV102" i="1"/>
  <c r="CP115" i="1"/>
  <c r="CQ115" i="1" s="1"/>
  <c r="CM115" i="1"/>
  <c r="CN115" i="1" s="1"/>
  <c r="CJ115" i="1"/>
  <c r="CK115" i="1" s="1"/>
  <c r="CP118" i="1"/>
  <c r="CQ118" i="1" s="1"/>
  <c r="CN118" i="1"/>
  <c r="CK118" i="1"/>
  <c r="CP87" i="1"/>
  <c r="CQ87" i="1" s="1"/>
  <c r="CN87" i="1"/>
  <c r="CK87" i="1"/>
  <c r="CP81" i="1"/>
  <c r="CQ81" i="1" s="1"/>
  <c r="CN81" i="1"/>
  <c r="CK81" i="1"/>
  <c r="CP86" i="1"/>
  <c r="CQ86" i="1" s="1"/>
  <c r="CN86" i="1"/>
  <c r="CK86" i="1"/>
  <c r="CP102" i="1"/>
  <c r="CQ102" i="1" s="1"/>
  <c r="CM102" i="1"/>
  <c r="CN102" i="1" s="1"/>
  <c r="CJ102" i="1"/>
  <c r="CK102" i="1" s="1"/>
  <c r="BV118" i="1"/>
  <c r="BV87" i="1"/>
  <c r="BV81" i="1"/>
  <c r="BV86" i="1"/>
  <c r="BV102" i="1"/>
  <c r="BV36" i="1"/>
  <c r="BY36" i="1" s="1"/>
  <c r="BZ36" i="1" s="1"/>
  <c r="BW29" i="1"/>
  <c r="BS29" i="1"/>
  <c r="BS28" i="1"/>
  <c r="BW28" i="1"/>
  <c r="AF167" i="1"/>
  <c r="AG27" i="1"/>
  <c r="AD27" i="1" s="1"/>
  <c r="GS27" i="1" s="1"/>
  <c r="AE56" i="1"/>
  <c r="AJ157" i="1"/>
  <c r="BW43" i="1"/>
  <c r="BW30" i="1"/>
  <c r="BW61" i="1"/>
  <c r="BW25" i="1"/>
  <c r="BW36" i="1"/>
  <c r="BW27" i="1"/>
  <c r="BW145" i="1"/>
  <c r="BW24" i="1"/>
  <c r="BW23" i="1"/>
  <c r="BW12" i="1"/>
  <c r="BW41" i="1"/>
  <c r="BW104" i="1"/>
  <c r="BW39" i="1"/>
  <c r="BW16" i="1"/>
  <c r="BW38" i="1"/>
  <c r="BW48" i="1"/>
  <c r="BW100" i="1"/>
  <c r="BW49" i="1"/>
  <c r="BW84" i="1"/>
  <c r="BW26" i="1"/>
  <c r="BW90" i="1"/>
  <c r="BW40" i="1"/>
  <c r="BW42" i="1"/>
  <c r="BS88" i="1"/>
  <c r="BS20" i="1"/>
  <c r="BS34" i="1"/>
  <c r="BS77" i="1"/>
  <c r="BS47" i="1"/>
  <c r="BS22" i="1"/>
  <c r="BS21" i="1"/>
  <c r="BS18" i="1"/>
  <c r="BS19" i="1"/>
  <c r="BS134" i="1"/>
  <c r="BS14" i="1"/>
  <c r="BW20" i="1"/>
  <c r="BS66" i="1"/>
  <c r="BS62" i="1"/>
  <c r="BS72" i="1"/>
  <c r="BS58" i="1"/>
  <c r="BS11" i="1"/>
  <c r="BS63" i="1"/>
  <c r="BV94" i="1"/>
  <c r="BV95" i="1"/>
  <c r="BV78" i="1"/>
  <c r="BV79" i="1"/>
  <c r="BV96" i="1"/>
  <c r="BV74" i="1"/>
  <c r="GH102" i="1"/>
  <c r="FY102" i="1" s="1"/>
  <c r="CZ136" i="1"/>
  <c r="DA136" i="1"/>
  <c r="DE136" i="1"/>
  <c r="DF136" i="1" s="1"/>
  <c r="DH136" i="1"/>
  <c r="DI136" i="1" s="1"/>
  <c r="DK136" i="1"/>
  <c r="DL136" i="1" s="1"/>
  <c r="DN136" i="1"/>
  <c r="DO136" i="1" s="1"/>
  <c r="DR136" i="1"/>
  <c r="DT136" i="1"/>
  <c r="DU136" i="1" s="1"/>
  <c r="DW136" i="1"/>
  <c r="DX136" i="1" s="1"/>
  <c r="EB136" i="1"/>
  <c r="DA115" i="1"/>
  <c r="DA102" i="1"/>
  <c r="DE102" i="1"/>
  <c r="DF102" i="1" s="1"/>
  <c r="DH102" i="1"/>
  <c r="DI102" i="1" s="1"/>
  <c r="DK102" i="1"/>
  <c r="DL102" i="1" s="1"/>
  <c r="DN102" i="1"/>
  <c r="DO102" i="1" s="1"/>
  <c r="DR102" i="1"/>
  <c r="DT102" i="1"/>
  <c r="DU102" i="1" s="1"/>
  <c r="DW102" i="1"/>
  <c r="DX102" i="1" s="1"/>
  <c r="EB102" i="1"/>
  <c r="EK102" i="1" s="1"/>
  <c r="GB68" i="1"/>
  <c r="HJ68" i="1" s="1"/>
  <c r="CZ95" i="1"/>
  <c r="DA95" i="1"/>
  <c r="DE95" i="1"/>
  <c r="DF95" i="1" s="1"/>
  <c r="DH95" i="1"/>
  <c r="EF95" i="1" s="1"/>
  <c r="DW95" i="1"/>
  <c r="DX95" i="1" s="1"/>
  <c r="DN95" i="1"/>
  <c r="DO95" i="1" s="1"/>
  <c r="DK95" i="1"/>
  <c r="BD118" i="1"/>
  <c r="BD94" i="1"/>
  <c r="BD95" i="1"/>
  <c r="AE95" i="1"/>
  <c r="S95" i="1"/>
  <c r="T95" i="1"/>
  <c r="U95" i="1"/>
  <c r="BD74" i="1"/>
  <c r="BB92" i="1"/>
  <c r="BB157" i="1" s="1"/>
  <c r="BW71" i="1"/>
  <c r="BV70" i="1"/>
  <c r="S102" i="1"/>
  <c r="U115" i="1"/>
  <c r="U102" i="1"/>
  <c r="T102" i="1"/>
  <c r="DG114" i="1"/>
  <c r="DH114" i="1" s="1"/>
  <c r="EF114" i="1" s="1"/>
  <c r="DG113" i="1"/>
  <c r="DH113" i="1" s="1"/>
  <c r="DG76" i="1"/>
  <c r="DH76" i="1" s="1"/>
  <c r="EF76" i="1" s="1"/>
  <c r="FB71" i="1"/>
  <c r="DG93" i="1"/>
  <c r="DH93" i="1" s="1"/>
  <c r="EF93" i="1" s="1"/>
  <c r="DG112" i="1"/>
  <c r="DH112" i="1" s="1"/>
  <c r="DG91" i="1"/>
  <c r="DH91" i="1" s="1"/>
  <c r="DI91" i="1" s="1"/>
  <c r="DG89" i="1"/>
  <c r="DH89" i="1" s="1"/>
  <c r="EF89" i="1" s="1"/>
  <c r="EL67" i="1"/>
  <c r="EB11" i="1"/>
  <c r="GH41" i="1"/>
  <c r="BW13" i="1"/>
  <c r="EO23" i="1"/>
  <c r="EO24" i="1"/>
  <c r="EO16" i="1"/>
  <c r="EO12" i="1"/>
  <c r="EO145" i="1"/>
  <c r="EN65" i="1"/>
  <c r="EP65" i="1" s="1"/>
  <c r="DA29" i="1"/>
  <c r="DQ25" i="1"/>
  <c r="DR25" i="1" s="1"/>
  <c r="AM56" i="1"/>
  <c r="BV2" i="1"/>
  <c r="BV3" i="1"/>
  <c r="BV10" i="1"/>
  <c r="BX10" i="1" s="1"/>
  <c r="BV9" i="1"/>
  <c r="BY9" i="1" s="1"/>
  <c r="BZ9" i="1" s="1"/>
  <c r="CA9" i="1" s="1"/>
  <c r="BV7" i="1"/>
  <c r="BV8" i="1"/>
  <c r="BV5" i="1"/>
  <c r="BY5" i="1" s="1"/>
  <c r="BZ5" i="1" s="1"/>
  <c r="CA5" i="1" s="1"/>
  <c r="BV6" i="1"/>
  <c r="BX6" i="1" s="1"/>
  <c r="BV4" i="1"/>
  <c r="BV14" i="1"/>
  <c r="BX14" i="1" s="1"/>
  <c r="BV44" i="1"/>
  <c r="BY44" i="1" s="1"/>
  <c r="BZ44" i="1" s="1"/>
  <c r="CA44" i="1" s="1"/>
  <c r="BV20" i="1"/>
  <c r="BY20" i="1" s="1"/>
  <c r="BV75" i="1"/>
  <c r="BV80" i="1"/>
  <c r="BV82" i="1"/>
  <c r="BV83" i="1"/>
  <c r="BV85" i="1"/>
  <c r="BV136" i="1"/>
  <c r="BV133" i="1"/>
  <c r="BV121" i="1"/>
  <c r="BV135" i="1"/>
  <c r="BV137" i="1"/>
  <c r="BV138" i="1"/>
  <c r="BV139" i="1"/>
  <c r="BV140" i="1"/>
  <c r="BV142" i="1"/>
  <c r="BV143" i="1"/>
  <c r="BV144" i="1"/>
  <c r="BV146" i="1"/>
  <c r="BV147" i="1"/>
  <c r="BV148" i="1"/>
  <c r="BV149" i="1"/>
  <c r="BV150" i="1"/>
  <c r="BV151" i="1"/>
  <c r="BV141" i="1"/>
  <c r="BV152" i="1"/>
  <c r="CK82" i="1"/>
  <c r="CK83" i="1"/>
  <c r="CK85" i="1"/>
  <c r="CN80" i="1"/>
  <c r="CN82" i="1"/>
  <c r="CN83" i="1"/>
  <c r="CN85" i="1"/>
  <c r="CM29" i="1"/>
  <c r="CN29" i="1" s="1"/>
  <c r="CP29" i="1"/>
  <c r="CQ29" i="1" s="1"/>
  <c r="CP80" i="1"/>
  <c r="CQ80" i="1" s="1"/>
  <c r="CP82" i="1"/>
  <c r="CQ82" i="1" s="1"/>
  <c r="CP83" i="1"/>
  <c r="CQ83" i="1" s="1"/>
  <c r="CP85" i="1"/>
  <c r="CQ85" i="1" s="1"/>
  <c r="CV29" i="1"/>
  <c r="CV80" i="1"/>
  <c r="CV82" i="1"/>
  <c r="CV83" i="1"/>
  <c r="CV85" i="1"/>
  <c r="CV45" i="1"/>
  <c r="CV48" i="1"/>
  <c r="CV39" i="1"/>
  <c r="CV41" i="1"/>
  <c r="CV13" i="1"/>
  <c r="CV145" i="1"/>
  <c r="CV23" i="1"/>
  <c r="CZ92" i="1"/>
  <c r="CZ78" i="1"/>
  <c r="CZ79" i="1"/>
  <c r="CZ75" i="1"/>
  <c r="CZ94" i="1"/>
  <c r="CZ74" i="1"/>
  <c r="CZ96" i="1"/>
  <c r="CZ80" i="1"/>
  <c r="CZ82" i="1"/>
  <c r="CZ83" i="1"/>
  <c r="CZ85" i="1"/>
  <c r="CZ133" i="1"/>
  <c r="CZ135" i="1"/>
  <c r="CZ137" i="1"/>
  <c r="CZ138" i="1"/>
  <c r="CZ139" i="1"/>
  <c r="CZ140" i="1"/>
  <c r="CZ142" i="1"/>
  <c r="CZ143" i="1"/>
  <c r="CZ144" i="1"/>
  <c r="CZ146" i="1"/>
  <c r="CZ147" i="1"/>
  <c r="CZ148" i="1"/>
  <c r="CZ149" i="1"/>
  <c r="CZ150" i="1"/>
  <c r="CZ151" i="1"/>
  <c r="CZ141" i="1"/>
  <c r="CZ152" i="1"/>
  <c r="DA94" i="1"/>
  <c r="DA74" i="1"/>
  <c r="DA96" i="1"/>
  <c r="DA80" i="1"/>
  <c r="DA81" i="1"/>
  <c r="DA82" i="1"/>
  <c r="DA83" i="1"/>
  <c r="DA85" i="1"/>
  <c r="DA86" i="1"/>
  <c r="DA87" i="1"/>
  <c r="DA133" i="1"/>
  <c r="DA135" i="1"/>
  <c r="DA137" i="1"/>
  <c r="DA138" i="1"/>
  <c r="DA139" i="1"/>
  <c r="DA140" i="1"/>
  <c r="DA142" i="1"/>
  <c r="DA143" i="1"/>
  <c r="DA144" i="1"/>
  <c r="DA146" i="1"/>
  <c r="DA147" i="1"/>
  <c r="DA148" i="1"/>
  <c r="DA149" i="1"/>
  <c r="DA150" i="1"/>
  <c r="DA151" i="1"/>
  <c r="DA141" i="1"/>
  <c r="DA152" i="1"/>
  <c r="FB58" i="1"/>
  <c r="DE11" i="1"/>
  <c r="DF11" i="1" s="1"/>
  <c r="DH11" i="1"/>
  <c r="DI11" i="1" s="1"/>
  <c r="FB69" i="1"/>
  <c r="DE93" i="1"/>
  <c r="DF93" i="1" s="1"/>
  <c r="DE112" i="1"/>
  <c r="DF112" i="1" s="1"/>
  <c r="DF29" i="1"/>
  <c r="DI29" i="1"/>
  <c r="FB72" i="1"/>
  <c r="DE76" i="1"/>
  <c r="DF76" i="1" s="1"/>
  <c r="DE113" i="1"/>
  <c r="DF113" i="1" s="1"/>
  <c r="DE114" i="1"/>
  <c r="DF114" i="1" s="1"/>
  <c r="DE56" i="1"/>
  <c r="DF56" i="1" s="1"/>
  <c r="DH56" i="1"/>
  <c r="FB56" i="1" s="1"/>
  <c r="DE57" i="1"/>
  <c r="DF57" i="1" s="1"/>
  <c r="DH57" i="1"/>
  <c r="FB57" i="1" s="1"/>
  <c r="DE92" i="1"/>
  <c r="DF92" i="1" s="1"/>
  <c r="DH92" i="1"/>
  <c r="FB92" i="1" s="1"/>
  <c r="DE78" i="1"/>
  <c r="DF78" i="1" s="1"/>
  <c r="DH78" i="1"/>
  <c r="DE79" i="1"/>
  <c r="DF79" i="1" s="1"/>
  <c r="DH79" i="1"/>
  <c r="EF79" i="1" s="1"/>
  <c r="DE75" i="1"/>
  <c r="DF75" i="1" s="1"/>
  <c r="DH75" i="1"/>
  <c r="DI75" i="1" s="1"/>
  <c r="DE94" i="1"/>
  <c r="DF94" i="1" s="1"/>
  <c r="DH94" i="1"/>
  <c r="FB94" i="1" s="1"/>
  <c r="DE74" i="1"/>
  <c r="DF74" i="1" s="1"/>
  <c r="DH74" i="1"/>
  <c r="FB74" i="1" s="1"/>
  <c r="DE96" i="1"/>
  <c r="DF96" i="1" s="1"/>
  <c r="DH96" i="1"/>
  <c r="FB96" i="1" s="1"/>
  <c r="DE118" i="1"/>
  <c r="DF118" i="1" s="1"/>
  <c r="DH118" i="1"/>
  <c r="DE80" i="1"/>
  <c r="DF80" i="1" s="1"/>
  <c r="DH80" i="1"/>
  <c r="EF80" i="1" s="1"/>
  <c r="DE81" i="1"/>
  <c r="DF81" i="1" s="1"/>
  <c r="DH81" i="1"/>
  <c r="FB81" i="1" s="1"/>
  <c r="DE82" i="1"/>
  <c r="DF82" i="1" s="1"/>
  <c r="DH82" i="1"/>
  <c r="FB82" i="1" s="1"/>
  <c r="DE83" i="1"/>
  <c r="DF83" i="1" s="1"/>
  <c r="DH83" i="1"/>
  <c r="FB83" i="1" s="1"/>
  <c r="DE85" i="1"/>
  <c r="DF85" i="1" s="1"/>
  <c r="DH85" i="1"/>
  <c r="EF85" i="1" s="1"/>
  <c r="DE86" i="1"/>
  <c r="DF86" i="1" s="1"/>
  <c r="DH86" i="1"/>
  <c r="DI86" i="1" s="1"/>
  <c r="DE87" i="1"/>
  <c r="DF87" i="1" s="1"/>
  <c r="DH87" i="1"/>
  <c r="FB87" i="1" s="1"/>
  <c r="DE133" i="1"/>
  <c r="DF133" i="1" s="1"/>
  <c r="DH133" i="1"/>
  <c r="DI133" i="1" s="1"/>
  <c r="DE135" i="1"/>
  <c r="DF135" i="1" s="1"/>
  <c r="DH135" i="1"/>
  <c r="FB135" i="1" s="1"/>
  <c r="DE137" i="1"/>
  <c r="DF137" i="1" s="1"/>
  <c r="DH137" i="1"/>
  <c r="FB137" i="1" s="1"/>
  <c r="DE138" i="1"/>
  <c r="DF138" i="1" s="1"/>
  <c r="DH138" i="1"/>
  <c r="FB138" i="1" s="1"/>
  <c r="DE139" i="1"/>
  <c r="DF139" i="1" s="1"/>
  <c r="DH139" i="1"/>
  <c r="FB139" i="1" s="1"/>
  <c r="DE140" i="1"/>
  <c r="DF140" i="1" s="1"/>
  <c r="DH140" i="1"/>
  <c r="FB140" i="1" s="1"/>
  <c r="DE142" i="1"/>
  <c r="DF142" i="1" s="1"/>
  <c r="DH142" i="1"/>
  <c r="DI142" i="1" s="1"/>
  <c r="DE143" i="1"/>
  <c r="DF143" i="1" s="1"/>
  <c r="DH143" i="1"/>
  <c r="FB143" i="1" s="1"/>
  <c r="DE144" i="1"/>
  <c r="DF144" i="1" s="1"/>
  <c r="DH144" i="1"/>
  <c r="DE146" i="1"/>
  <c r="DF146" i="1" s="1"/>
  <c r="DH146" i="1"/>
  <c r="DI146" i="1" s="1"/>
  <c r="DE147" i="1"/>
  <c r="DF147" i="1" s="1"/>
  <c r="DH147" i="1"/>
  <c r="DI147" i="1" s="1"/>
  <c r="DE148" i="1"/>
  <c r="DF148" i="1" s="1"/>
  <c r="DH148" i="1"/>
  <c r="DE149" i="1"/>
  <c r="DF149" i="1" s="1"/>
  <c r="DH149" i="1"/>
  <c r="DE150" i="1"/>
  <c r="DF150" i="1" s="1"/>
  <c r="DH150" i="1"/>
  <c r="FB150" i="1" s="1"/>
  <c r="DE151" i="1"/>
  <c r="DF151" i="1" s="1"/>
  <c r="DH151" i="1"/>
  <c r="DE141" i="1"/>
  <c r="DF141" i="1" s="1"/>
  <c r="DH141" i="1"/>
  <c r="FB141" i="1" s="1"/>
  <c r="DE152" i="1"/>
  <c r="DF152" i="1" s="1"/>
  <c r="DH152" i="1"/>
  <c r="DI152" i="1" s="1"/>
  <c r="DK89" i="1"/>
  <c r="DL89" i="1" s="1"/>
  <c r="DK91" i="1"/>
  <c r="DL91" i="1" s="1"/>
  <c r="DK54" i="1"/>
  <c r="DL54" i="1" s="1"/>
  <c r="DL28" i="1"/>
  <c r="DK11" i="1"/>
  <c r="DL11" i="1" s="1"/>
  <c r="DK93" i="1"/>
  <c r="DL93" i="1" s="1"/>
  <c r="DK112" i="1"/>
  <c r="DL112" i="1" s="1"/>
  <c r="DK29" i="1"/>
  <c r="DL29" i="1" s="1"/>
  <c r="DK76" i="1"/>
  <c r="DL76" i="1" s="1"/>
  <c r="DK113" i="1"/>
  <c r="DL113" i="1" s="1"/>
  <c r="DK114" i="1"/>
  <c r="DL114" i="1" s="1"/>
  <c r="DK56" i="1"/>
  <c r="DL56" i="1" s="1"/>
  <c r="DK57" i="1"/>
  <c r="DL57" i="1" s="1"/>
  <c r="DK92" i="1"/>
  <c r="DL92" i="1" s="1"/>
  <c r="DK78" i="1"/>
  <c r="DL78" i="1" s="1"/>
  <c r="DK79" i="1"/>
  <c r="DL79" i="1" s="1"/>
  <c r="DK75" i="1"/>
  <c r="DL75" i="1" s="1"/>
  <c r="DK94" i="1"/>
  <c r="DL94" i="1" s="1"/>
  <c r="DK74" i="1"/>
  <c r="DL74" i="1" s="1"/>
  <c r="DK96" i="1"/>
  <c r="DL96" i="1" s="1"/>
  <c r="DK118" i="1"/>
  <c r="DL118" i="1" s="1"/>
  <c r="DK80" i="1"/>
  <c r="DL80" i="1" s="1"/>
  <c r="DK81" i="1"/>
  <c r="DL81" i="1" s="1"/>
  <c r="DK82" i="1"/>
  <c r="DL82" i="1" s="1"/>
  <c r="DK83" i="1"/>
  <c r="DL83" i="1" s="1"/>
  <c r="DK85" i="1"/>
  <c r="DL85" i="1" s="1"/>
  <c r="DK86" i="1"/>
  <c r="DL86" i="1" s="1"/>
  <c r="DK87" i="1"/>
  <c r="DL87" i="1" s="1"/>
  <c r="DK133" i="1"/>
  <c r="DL133" i="1" s="1"/>
  <c r="DK135" i="1"/>
  <c r="DL135" i="1" s="1"/>
  <c r="DK137" i="1"/>
  <c r="DL137" i="1" s="1"/>
  <c r="DK138" i="1"/>
  <c r="DL138" i="1" s="1"/>
  <c r="DK139" i="1"/>
  <c r="DL139" i="1" s="1"/>
  <c r="DK140" i="1"/>
  <c r="DL140" i="1" s="1"/>
  <c r="DK142" i="1"/>
  <c r="DL142" i="1" s="1"/>
  <c r="DK143" i="1"/>
  <c r="DL143" i="1" s="1"/>
  <c r="DK144" i="1"/>
  <c r="DL144" i="1" s="1"/>
  <c r="DK146" i="1"/>
  <c r="DL146" i="1" s="1"/>
  <c r="DK147" i="1"/>
  <c r="DL147" i="1" s="1"/>
  <c r="DK148" i="1"/>
  <c r="DL148" i="1" s="1"/>
  <c r="DK149" i="1"/>
  <c r="DL149" i="1" s="1"/>
  <c r="DK150" i="1"/>
  <c r="DL150" i="1" s="1"/>
  <c r="DK151" i="1"/>
  <c r="DL151" i="1" s="1"/>
  <c r="DK141" i="1"/>
  <c r="DL141" i="1" s="1"/>
  <c r="DK152" i="1"/>
  <c r="DL152" i="1" s="1"/>
  <c r="DN89" i="1"/>
  <c r="DO89" i="1" s="1"/>
  <c r="DR89" i="1"/>
  <c r="DN91" i="1"/>
  <c r="DO91" i="1" s="1"/>
  <c r="DR91" i="1"/>
  <c r="DN54" i="1"/>
  <c r="DO54" i="1" s="1"/>
  <c r="DR54" i="1"/>
  <c r="DO28" i="1"/>
  <c r="DR28" i="1"/>
  <c r="DN11" i="1"/>
  <c r="DO11" i="1" s="1"/>
  <c r="DR11" i="1"/>
  <c r="DN93" i="1"/>
  <c r="DO93" i="1" s="1"/>
  <c r="DR93" i="1"/>
  <c r="DN112" i="1"/>
  <c r="DO112" i="1" s="1"/>
  <c r="DR112" i="1"/>
  <c r="DO29" i="1"/>
  <c r="DR29" i="1"/>
  <c r="DN76" i="1"/>
  <c r="DO76" i="1" s="1"/>
  <c r="DR76" i="1"/>
  <c r="DN113" i="1"/>
  <c r="DO113" i="1" s="1"/>
  <c r="DR113" i="1"/>
  <c r="DN114" i="1"/>
  <c r="DO114" i="1" s="1"/>
  <c r="DR114" i="1"/>
  <c r="DN56" i="1"/>
  <c r="DO56" i="1" s="1"/>
  <c r="DR56" i="1"/>
  <c r="DN57" i="1"/>
  <c r="DO57" i="1" s="1"/>
  <c r="DR57" i="1"/>
  <c r="DN92" i="1"/>
  <c r="DO92" i="1" s="1"/>
  <c r="DR92" i="1"/>
  <c r="DN78" i="1"/>
  <c r="DO78" i="1" s="1"/>
  <c r="DR78" i="1"/>
  <c r="DN79" i="1"/>
  <c r="DO79" i="1" s="1"/>
  <c r="DR79" i="1"/>
  <c r="DN75" i="1"/>
  <c r="DO75" i="1" s="1"/>
  <c r="DR75" i="1"/>
  <c r="DN94" i="1"/>
  <c r="DO94" i="1" s="1"/>
  <c r="DR94" i="1"/>
  <c r="DN74" i="1"/>
  <c r="DO74" i="1" s="1"/>
  <c r="DR74" i="1"/>
  <c r="DN96" i="1"/>
  <c r="DO96" i="1" s="1"/>
  <c r="DR96" i="1"/>
  <c r="DN80" i="1"/>
  <c r="DO80" i="1" s="1"/>
  <c r="DR80" i="1"/>
  <c r="DN81" i="1"/>
  <c r="DO81" i="1" s="1"/>
  <c r="DR81" i="1"/>
  <c r="DN82" i="1"/>
  <c r="DO82" i="1" s="1"/>
  <c r="DR82" i="1"/>
  <c r="DN83" i="1"/>
  <c r="DO83" i="1" s="1"/>
  <c r="DR83" i="1"/>
  <c r="DN85" i="1"/>
  <c r="DO85" i="1" s="1"/>
  <c r="DR85" i="1"/>
  <c r="DN86" i="1"/>
  <c r="DO86" i="1" s="1"/>
  <c r="DR86" i="1"/>
  <c r="DN87" i="1"/>
  <c r="DO87" i="1" s="1"/>
  <c r="DR87" i="1"/>
  <c r="DN133" i="1"/>
  <c r="DO133" i="1" s="1"/>
  <c r="DR133" i="1"/>
  <c r="DN135" i="1"/>
  <c r="DO135" i="1" s="1"/>
  <c r="DR135" i="1"/>
  <c r="DN137" i="1"/>
  <c r="DO137" i="1" s="1"/>
  <c r="DR137" i="1"/>
  <c r="DN138" i="1"/>
  <c r="DO138" i="1" s="1"/>
  <c r="DR138" i="1"/>
  <c r="DN139" i="1"/>
  <c r="DO139" i="1" s="1"/>
  <c r="DR139" i="1"/>
  <c r="DN140" i="1"/>
  <c r="DO140" i="1" s="1"/>
  <c r="DR140" i="1"/>
  <c r="DN142" i="1"/>
  <c r="DO142" i="1" s="1"/>
  <c r="DR142" i="1"/>
  <c r="DN143" i="1"/>
  <c r="DO143" i="1" s="1"/>
  <c r="DR143" i="1"/>
  <c r="DN144" i="1"/>
  <c r="DO144" i="1" s="1"/>
  <c r="DR144" i="1"/>
  <c r="DN146" i="1"/>
  <c r="DO146" i="1" s="1"/>
  <c r="DR146" i="1"/>
  <c r="DN147" i="1"/>
  <c r="DO147" i="1" s="1"/>
  <c r="DR147" i="1"/>
  <c r="DN148" i="1"/>
  <c r="DO148" i="1" s="1"/>
  <c r="DR148" i="1"/>
  <c r="DN149" i="1"/>
  <c r="DO149" i="1" s="1"/>
  <c r="DR149" i="1"/>
  <c r="DN150" i="1"/>
  <c r="DO150" i="1" s="1"/>
  <c r="DR150" i="1"/>
  <c r="DN151" i="1"/>
  <c r="DO151" i="1" s="1"/>
  <c r="DR151" i="1"/>
  <c r="DN141" i="1"/>
  <c r="DO141" i="1" s="1"/>
  <c r="DR141" i="1"/>
  <c r="DN152" i="1"/>
  <c r="DO152" i="1" s="1"/>
  <c r="DR152" i="1"/>
  <c r="DT89" i="1"/>
  <c r="DU89" i="1" s="1"/>
  <c r="DT91" i="1"/>
  <c r="DU91" i="1" s="1"/>
  <c r="DT54" i="1"/>
  <c r="DU54" i="1" s="1"/>
  <c r="DU28" i="1"/>
  <c r="DT11" i="1"/>
  <c r="DU11" i="1" s="1"/>
  <c r="DT93" i="1"/>
  <c r="DU93" i="1" s="1"/>
  <c r="DT112" i="1"/>
  <c r="DU112" i="1" s="1"/>
  <c r="DT29" i="1"/>
  <c r="DU29" i="1" s="1"/>
  <c r="DT76" i="1"/>
  <c r="DU76" i="1" s="1"/>
  <c r="DT113" i="1"/>
  <c r="DU113" i="1" s="1"/>
  <c r="DT114" i="1"/>
  <c r="DU114" i="1" s="1"/>
  <c r="DT56" i="1"/>
  <c r="DU56" i="1" s="1"/>
  <c r="DT57" i="1"/>
  <c r="DU57" i="1" s="1"/>
  <c r="DT92" i="1"/>
  <c r="DU92" i="1" s="1"/>
  <c r="DT78" i="1"/>
  <c r="DU78" i="1" s="1"/>
  <c r="DT79" i="1"/>
  <c r="DU79" i="1" s="1"/>
  <c r="DT75" i="1"/>
  <c r="DU75" i="1" s="1"/>
  <c r="DT94" i="1"/>
  <c r="DU94" i="1" s="1"/>
  <c r="DT74" i="1"/>
  <c r="DU74" i="1" s="1"/>
  <c r="DT96" i="1"/>
  <c r="DU96" i="1" s="1"/>
  <c r="DT118" i="1"/>
  <c r="DU118" i="1" s="1"/>
  <c r="DT80" i="1"/>
  <c r="DU80" i="1" s="1"/>
  <c r="DT81" i="1"/>
  <c r="DU81" i="1" s="1"/>
  <c r="DT82" i="1"/>
  <c r="DU82" i="1" s="1"/>
  <c r="DT83" i="1"/>
  <c r="DU83" i="1" s="1"/>
  <c r="DT85" i="1"/>
  <c r="DU85" i="1" s="1"/>
  <c r="DT86" i="1"/>
  <c r="DU86" i="1" s="1"/>
  <c r="DT87" i="1"/>
  <c r="DU87" i="1" s="1"/>
  <c r="DT133" i="1"/>
  <c r="DU133" i="1" s="1"/>
  <c r="DT135" i="1"/>
  <c r="DU135" i="1" s="1"/>
  <c r="DT137" i="1"/>
  <c r="DU137" i="1" s="1"/>
  <c r="DT138" i="1"/>
  <c r="DU138" i="1" s="1"/>
  <c r="DT139" i="1"/>
  <c r="DU139" i="1" s="1"/>
  <c r="DT140" i="1"/>
  <c r="DU140" i="1" s="1"/>
  <c r="DT142" i="1"/>
  <c r="DU142" i="1" s="1"/>
  <c r="DT143" i="1"/>
  <c r="DU143" i="1" s="1"/>
  <c r="DT144" i="1"/>
  <c r="DU144" i="1" s="1"/>
  <c r="DT146" i="1"/>
  <c r="DU146" i="1" s="1"/>
  <c r="DT147" i="1"/>
  <c r="DU147" i="1" s="1"/>
  <c r="DT148" i="1"/>
  <c r="DU148" i="1" s="1"/>
  <c r="DT149" i="1"/>
  <c r="DU149" i="1" s="1"/>
  <c r="DT150" i="1"/>
  <c r="DU150" i="1" s="1"/>
  <c r="DT151" i="1"/>
  <c r="DU151" i="1" s="1"/>
  <c r="DT141" i="1"/>
  <c r="DU141" i="1" s="1"/>
  <c r="DT152" i="1"/>
  <c r="DU152" i="1" s="1"/>
  <c r="DW94" i="1"/>
  <c r="DX94" i="1" s="1"/>
  <c r="DW74" i="1"/>
  <c r="DX74" i="1" s="1"/>
  <c r="DW96" i="1"/>
  <c r="DX96" i="1" s="1"/>
  <c r="DW118" i="1"/>
  <c r="DX118" i="1" s="1"/>
  <c r="DW133" i="1"/>
  <c r="DX133" i="1" s="1"/>
  <c r="DW135" i="1"/>
  <c r="DX135" i="1" s="1"/>
  <c r="DW137" i="1"/>
  <c r="DX137" i="1" s="1"/>
  <c r="DW138" i="1"/>
  <c r="DX138" i="1" s="1"/>
  <c r="DW139" i="1"/>
  <c r="DX139" i="1" s="1"/>
  <c r="DW140" i="1"/>
  <c r="DX140" i="1" s="1"/>
  <c r="DW142" i="1"/>
  <c r="DX142" i="1" s="1"/>
  <c r="DW143" i="1"/>
  <c r="DX143" i="1" s="1"/>
  <c r="DW144" i="1"/>
  <c r="DX144" i="1" s="1"/>
  <c r="DW146" i="1"/>
  <c r="DX146" i="1" s="1"/>
  <c r="DW147" i="1"/>
  <c r="DX147" i="1" s="1"/>
  <c r="DW148" i="1"/>
  <c r="DX148" i="1" s="1"/>
  <c r="DW149" i="1"/>
  <c r="DX149" i="1" s="1"/>
  <c r="DW150" i="1"/>
  <c r="DX150" i="1" s="1"/>
  <c r="DW151" i="1"/>
  <c r="DX151" i="1" s="1"/>
  <c r="DW141" i="1"/>
  <c r="DX141" i="1" s="1"/>
  <c r="DW152" i="1"/>
  <c r="DX152" i="1" s="1"/>
  <c r="DW83" i="1"/>
  <c r="DX83" i="1" s="1"/>
  <c r="DW85" i="1"/>
  <c r="DX85" i="1" s="1"/>
  <c r="DW86" i="1"/>
  <c r="DX86" i="1" s="1"/>
  <c r="DW87" i="1"/>
  <c r="DX87" i="1" s="1"/>
  <c r="EB28" i="1"/>
  <c r="EK28" i="1" s="1"/>
  <c r="EN28" i="1" s="1"/>
  <c r="EP28" i="1" s="1"/>
  <c r="EB29" i="1"/>
  <c r="ED29" i="1" s="1"/>
  <c r="EB56" i="1"/>
  <c r="EC56" i="1" s="1"/>
  <c r="EB57" i="1"/>
  <c r="EB118" i="1"/>
  <c r="EK118" i="1" s="1"/>
  <c r="EB80" i="1"/>
  <c r="EC80" i="1" s="1"/>
  <c r="ED80" i="1" s="1"/>
  <c r="EB81" i="1"/>
  <c r="EK81" i="1" s="1"/>
  <c r="EB82" i="1"/>
  <c r="EC82" i="1" s="1"/>
  <c r="EL82" i="1" s="1"/>
  <c r="EB83" i="1"/>
  <c r="EB85" i="1"/>
  <c r="EC85" i="1" s="1"/>
  <c r="DC85" i="1" s="1"/>
  <c r="EB86" i="1"/>
  <c r="EB87" i="1"/>
  <c r="EB133" i="1"/>
  <c r="EK133" i="1" s="1"/>
  <c r="EB135" i="1"/>
  <c r="EK135" i="1" s="1"/>
  <c r="EB137" i="1"/>
  <c r="EC137" i="1" s="1"/>
  <c r="EL137" i="1" s="1"/>
  <c r="EB138" i="1"/>
  <c r="EB139" i="1"/>
  <c r="EB140" i="1"/>
  <c r="EK140" i="1" s="1"/>
  <c r="EB142" i="1"/>
  <c r="EB143" i="1"/>
  <c r="EC143" i="1" s="1"/>
  <c r="EL143" i="1" s="1"/>
  <c r="EB144" i="1"/>
  <c r="EK144" i="1" s="1"/>
  <c r="EB146" i="1"/>
  <c r="EC146" i="1" s="1"/>
  <c r="FI146" i="1" s="1"/>
  <c r="EB147" i="1"/>
  <c r="EK147" i="1" s="1"/>
  <c r="EB148" i="1"/>
  <c r="EC148" i="1" s="1"/>
  <c r="DC148" i="1" s="1"/>
  <c r="EB149" i="1"/>
  <c r="EB150" i="1"/>
  <c r="EC150" i="1" s="1"/>
  <c r="EB151" i="1"/>
  <c r="EB141" i="1"/>
  <c r="EB152" i="1"/>
  <c r="GH141" i="1"/>
  <c r="GK141" i="1" s="1"/>
  <c r="GH147" i="1"/>
  <c r="FY147" i="1" s="1"/>
  <c r="GH148" i="1"/>
  <c r="GH149" i="1"/>
  <c r="GH152" i="1"/>
  <c r="FY152" i="1" s="1"/>
  <c r="GH150" i="1"/>
  <c r="FZ150" i="1" s="1"/>
  <c r="GO150" i="1" s="1"/>
  <c r="GH151" i="1"/>
  <c r="GS56" i="1"/>
  <c r="GT56" i="1"/>
  <c r="GW56" i="1"/>
  <c r="GY56" i="1"/>
  <c r="HC28" i="1"/>
  <c r="HC29" i="1"/>
  <c r="FY29" i="1" s="1"/>
  <c r="V69" i="1"/>
  <c r="AE68" i="1"/>
  <c r="GD67" i="1"/>
  <c r="GG59" i="1"/>
  <c r="AG54" i="1"/>
  <c r="AD54" i="1" s="1"/>
  <c r="GY54" i="1" s="1"/>
  <c r="AC156" i="1"/>
  <c r="Y56" i="1"/>
  <c r="DW114" i="1"/>
  <c r="DX114" i="1" s="1"/>
  <c r="S115" i="1"/>
  <c r="T115" i="1"/>
  <c r="S133" i="1"/>
  <c r="T133" i="1"/>
  <c r="GW115" i="1"/>
  <c r="AK157" i="1"/>
  <c r="GL157" i="1"/>
  <c r="BS68" i="1"/>
  <c r="BS67" i="1"/>
  <c r="U140" i="1"/>
  <c r="S140" i="1"/>
  <c r="T140" i="1"/>
  <c r="U141" i="1"/>
  <c r="T141" i="1"/>
  <c r="S141" i="1"/>
  <c r="O135" i="1"/>
  <c r="S135" i="1" s="1"/>
  <c r="U135" i="1"/>
  <c r="AM139" i="1"/>
  <c r="S139" i="1"/>
  <c r="T139" i="1"/>
  <c r="U139" i="1"/>
  <c r="GS151" i="1"/>
  <c r="GS138" i="1"/>
  <c r="U138" i="1"/>
  <c r="O138" i="1"/>
  <c r="S138" i="1" s="1"/>
  <c r="Q136" i="1"/>
  <c r="U136" i="1" s="1"/>
  <c r="S96" i="1"/>
  <c r="T96" i="1"/>
  <c r="U96" i="1"/>
  <c r="Y146" i="1"/>
  <c r="U146" i="1"/>
  <c r="S146" i="1"/>
  <c r="T146" i="1"/>
  <c r="U144" i="1"/>
  <c r="S144" i="1"/>
  <c r="T144" i="1"/>
  <c r="U152" i="1"/>
  <c r="S152" i="1"/>
  <c r="T152" i="1"/>
  <c r="S148" i="1"/>
  <c r="T148" i="1"/>
  <c r="U148" i="1"/>
  <c r="GW147" i="1"/>
  <c r="S147" i="1"/>
  <c r="T147" i="1"/>
  <c r="U147" i="1"/>
  <c r="U149" i="1"/>
  <c r="S149" i="1"/>
  <c r="T149" i="1"/>
  <c r="U150" i="1"/>
  <c r="S150" i="1"/>
  <c r="T150" i="1"/>
  <c r="U133" i="1"/>
  <c r="EU157" i="1"/>
  <c r="FX157" i="1"/>
  <c r="U142" i="1"/>
  <c r="T142" i="1"/>
  <c r="S142" i="1"/>
  <c r="U137" i="1"/>
  <c r="T137" i="1"/>
  <c r="S137" i="1"/>
  <c r="U94" i="1"/>
  <c r="T94" i="1"/>
  <c r="S94" i="1"/>
  <c r="U118" i="1"/>
  <c r="T118" i="1"/>
  <c r="S118" i="1"/>
  <c r="S136" i="1"/>
  <c r="U75" i="1"/>
  <c r="U74" i="1"/>
  <c r="BD75" i="1"/>
  <c r="BD79" i="1"/>
  <c r="BD78" i="1"/>
  <c r="BD54" i="1"/>
  <c r="BD29" i="1"/>
  <c r="BD28" i="1"/>
  <c r="BD61" i="1"/>
  <c r="BD145" i="1"/>
  <c r="BD43" i="1"/>
  <c r="BD45" i="1"/>
  <c r="BD104" i="1"/>
  <c r="BD9" i="1"/>
  <c r="BD8" i="1"/>
  <c r="BD7" i="1"/>
  <c r="HC79" i="1"/>
  <c r="DW79" i="1"/>
  <c r="DX79" i="1" s="1"/>
  <c r="DA79" i="1"/>
  <c r="DW113" i="1"/>
  <c r="DX113" i="1" s="1"/>
  <c r="DW78" i="1"/>
  <c r="DX78" i="1" s="1"/>
  <c r="DW75" i="1"/>
  <c r="DX75" i="1" s="1"/>
  <c r="DW92" i="1"/>
  <c r="DX92" i="1" s="1"/>
  <c r="DE54" i="1"/>
  <c r="DF54" i="1" s="1"/>
  <c r="DE89" i="1"/>
  <c r="DF89" i="1" s="1"/>
  <c r="DE91" i="1"/>
  <c r="DF91" i="1" s="1"/>
  <c r="CZ114" i="1"/>
  <c r="EV41" i="1"/>
  <c r="AT14" i="1"/>
  <c r="AS14" i="1"/>
  <c r="AR14" i="1"/>
  <c r="EV24" i="1"/>
  <c r="EV12" i="1"/>
  <c r="EV13" i="1"/>
  <c r="ET64" i="1"/>
  <c r="ET30" i="1"/>
  <c r="ET25" i="1"/>
  <c r="ET24" i="1"/>
  <c r="ET13" i="1"/>
  <c r="ET36" i="1"/>
  <c r="ET39" i="1"/>
  <c r="ET48" i="1"/>
  <c r="ET40" i="1"/>
  <c r="EV48" i="1"/>
  <c r="EV26" i="1"/>
  <c r="EV40" i="1"/>
  <c r="EV15" i="1"/>
  <c r="EV42" i="1"/>
  <c r="EV99" i="1"/>
  <c r="EV84" i="1"/>
  <c r="EV49" i="1"/>
  <c r="EV98" i="1"/>
  <c r="ES2" i="1"/>
  <c r="ES10" i="1"/>
  <c r="ES9" i="1"/>
  <c r="ES7" i="1"/>
  <c r="ES8" i="1"/>
  <c r="ES4" i="1"/>
  <c r="ES3" i="1"/>
  <c r="ES5" i="1"/>
  <c r="ES6" i="1"/>
  <c r="ES14" i="1"/>
  <c r="ES20" i="1"/>
  <c r="ES44" i="1"/>
  <c r="ES47" i="1"/>
  <c r="ES18" i="1"/>
  <c r="ES19" i="1"/>
  <c r="ES22" i="1"/>
  <c r="ES98" i="1"/>
  <c r="ES134" i="1"/>
  <c r="ES49" i="1"/>
  <c r="ES21" i="1"/>
  <c r="ES84" i="1"/>
  <c r="ES104" i="1"/>
  <c r="ES99" i="1"/>
  <c r="ES100" i="1"/>
  <c r="ES88" i="1"/>
  <c r="ES42" i="1"/>
  <c r="ES51" i="1"/>
  <c r="ES34" i="1"/>
  <c r="EI39" i="1"/>
  <c r="BW65" i="1"/>
  <c r="BW64" i="1"/>
  <c r="DJ90" i="1"/>
  <c r="DL90" i="1" s="1"/>
  <c r="DA56" i="1"/>
  <c r="DA91" i="1"/>
  <c r="CZ44" i="1"/>
  <c r="DA92" i="1"/>
  <c r="DA75" i="1"/>
  <c r="DA78" i="1"/>
  <c r="DA114" i="1"/>
  <c r="DA113" i="1"/>
  <c r="DA112" i="1"/>
  <c r="DA57" i="1"/>
  <c r="DA76" i="1"/>
  <c r="DA89" i="1"/>
  <c r="DA54" i="1"/>
  <c r="DA93" i="1"/>
  <c r="DA11" i="1"/>
  <c r="DA28" i="1"/>
  <c r="DA25" i="1"/>
  <c r="DA23" i="1"/>
  <c r="DA24" i="1"/>
  <c r="DA27" i="1"/>
  <c r="DA145" i="1"/>
  <c r="DA16" i="1"/>
  <c r="DA12" i="1"/>
  <c r="DA41" i="1"/>
  <c r="DA36" i="1"/>
  <c r="DA13" i="1"/>
  <c r="DA39" i="1"/>
  <c r="DA43" i="1"/>
  <c r="DA48" i="1"/>
  <c r="DA45" i="1"/>
  <c r="DA26" i="1"/>
  <c r="DA40" i="1"/>
  <c r="DA90" i="1"/>
  <c r="DA17" i="1"/>
  <c r="DA15" i="1"/>
  <c r="DA38" i="1"/>
  <c r="DA34" i="1"/>
  <c r="DA51" i="1"/>
  <c r="DA42" i="1"/>
  <c r="DA88" i="1"/>
  <c r="DA100" i="1"/>
  <c r="DA99" i="1"/>
  <c r="DA104" i="1"/>
  <c r="DA84" i="1"/>
  <c r="DA21" i="1"/>
  <c r="DA49" i="1"/>
  <c r="DA77" i="1"/>
  <c r="DA134" i="1"/>
  <c r="DA98" i="1"/>
  <c r="DA22" i="1"/>
  <c r="DA19" i="1"/>
  <c r="DA18" i="1"/>
  <c r="DA47" i="1"/>
  <c r="DA20" i="1"/>
  <c r="DA44" i="1"/>
  <c r="DA14" i="1"/>
  <c r="DA4" i="1"/>
  <c r="DA6" i="1"/>
  <c r="DA5" i="1"/>
  <c r="DA8" i="1"/>
  <c r="DA7" i="1"/>
  <c r="DA3" i="1"/>
  <c r="DA9" i="1"/>
  <c r="DA10" i="1"/>
  <c r="DA2" i="1"/>
  <c r="EB2" i="1"/>
  <c r="ED2" i="1" s="1"/>
  <c r="AY157" i="1"/>
  <c r="AZ157" i="1"/>
  <c r="BA157" i="1"/>
  <c r="ER157" i="1"/>
  <c r="HC114" i="1"/>
  <c r="HC113" i="1"/>
  <c r="HC112" i="1"/>
  <c r="HC56" i="1"/>
  <c r="HC57" i="1"/>
  <c r="HC78" i="1"/>
  <c r="HC75" i="1"/>
  <c r="HC92" i="1"/>
  <c r="HC118" i="1"/>
  <c r="HC137" i="1"/>
  <c r="HC142" i="1"/>
  <c r="HC143" i="1"/>
  <c r="HC76" i="1"/>
  <c r="HC69" i="1"/>
  <c r="HC73" i="1"/>
  <c r="HC54" i="1"/>
  <c r="HC70" i="1"/>
  <c r="ES90" i="1"/>
  <c r="GZ137" i="1"/>
  <c r="BS60" i="1"/>
  <c r="BS59" i="1"/>
  <c r="BS70" i="1"/>
  <c r="BS54" i="1"/>
  <c r="O104" i="1"/>
  <c r="T104" i="1" s="1"/>
  <c r="O27" i="1"/>
  <c r="O4" i="1"/>
  <c r="O51" i="1"/>
  <c r="O49" i="1"/>
  <c r="S49" i="1" s="1"/>
  <c r="O114" i="1"/>
  <c r="O113" i="1"/>
  <c r="S113" i="1" s="1"/>
  <c r="Q54" i="1"/>
  <c r="Q73" i="1"/>
  <c r="Q41" i="1"/>
  <c r="U41" i="1" s="1"/>
  <c r="Q65" i="1"/>
  <c r="Q64" i="1"/>
  <c r="T64" i="1" s="1"/>
  <c r="P38" i="1"/>
  <c r="S38" i="1" s="1"/>
  <c r="P45" i="1"/>
  <c r="S45" i="1" s="1"/>
  <c r="P10" i="1"/>
  <c r="S10" i="1" s="1"/>
  <c r="P145" i="1"/>
  <c r="S145" i="1" s="1"/>
  <c r="P104" i="1"/>
  <c r="R104" i="1" s="1"/>
  <c r="P9" i="1"/>
  <c r="S9" i="1" s="1"/>
  <c r="P20" i="1"/>
  <c r="P90" i="1"/>
  <c r="S90" i="1" s="1"/>
  <c r="P18" i="1"/>
  <c r="S18" i="1" s="1"/>
  <c r="P26" i="1"/>
  <c r="S26" i="1" s="1"/>
  <c r="P89" i="1"/>
  <c r="P84" i="1"/>
  <c r="S84" i="1" s="1"/>
  <c r="P134" i="1"/>
  <c r="S134" i="1" s="1"/>
  <c r="P39" i="1"/>
  <c r="S39" i="1" s="1"/>
  <c r="P36" i="1"/>
  <c r="S36" i="1" s="1"/>
  <c r="AU75" i="1"/>
  <c r="BW70" i="1"/>
  <c r="BW69" i="1"/>
  <c r="BW73" i="1"/>
  <c r="BV61" i="1"/>
  <c r="BV23" i="1"/>
  <c r="BV25" i="1"/>
  <c r="BY25" i="1" s="1"/>
  <c r="BZ25" i="1" s="1"/>
  <c r="BV64" i="1"/>
  <c r="BV65" i="1"/>
  <c r="BX65" i="1" s="1"/>
  <c r="BV28" i="1"/>
  <c r="BY28" i="1" s="1"/>
  <c r="BZ28" i="1" s="1"/>
  <c r="CA28" i="1" s="1"/>
  <c r="BV29" i="1"/>
  <c r="BY29" i="1" s="1"/>
  <c r="BZ29" i="1" s="1"/>
  <c r="BV11" i="1"/>
  <c r="BV58" i="1"/>
  <c r="BV60" i="1"/>
  <c r="BV54" i="1"/>
  <c r="BV73" i="1"/>
  <c r="BV63" i="1"/>
  <c r="BV68" i="1"/>
  <c r="BV72" i="1"/>
  <c r="BV67" i="1"/>
  <c r="BV66" i="1"/>
  <c r="BS57" i="1"/>
  <c r="BS89" i="1"/>
  <c r="BS71" i="1"/>
  <c r="BS112" i="1"/>
  <c r="BS114" i="1"/>
  <c r="BS113" i="1"/>
  <c r="BS93" i="1"/>
  <c r="BS76" i="1"/>
  <c r="BS56" i="1"/>
  <c r="BV92" i="1"/>
  <c r="BS91" i="1"/>
  <c r="BV114" i="1"/>
  <c r="BV113" i="1"/>
  <c r="BV76" i="1"/>
  <c r="BV112" i="1"/>
  <c r="BV59" i="1"/>
  <c r="BV62" i="1"/>
  <c r="BV89" i="1"/>
  <c r="BV69" i="1"/>
  <c r="BV91" i="1"/>
  <c r="BV57" i="1"/>
  <c r="BV93" i="1"/>
  <c r="BV56" i="1"/>
  <c r="BV71" i="1"/>
  <c r="DC39" i="1"/>
  <c r="U92" i="1"/>
  <c r="T92" i="1"/>
  <c r="S92" i="1"/>
  <c r="GP157" i="1"/>
  <c r="DT25" i="1"/>
  <c r="DU25" i="1" s="1"/>
  <c r="DW89" i="1"/>
  <c r="DX89" i="1" s="1"/>
  <c r="DW54" i="1"/>
  <c r="DX54" i="1" s="1"/>
  <c r="DW91" i="1"/>
  <c r="DX91" i="1" s="1"/>
  <c r="DW93" i="1"/>
  <c r="DX93" i="1" s="1"/>
  <c r="DW57" i="1"/>
  <c r="DX57" i="1" s="1"/>
  <c r="DW56" i="1"/>
  <c r="DX56" i="1" s="1"/>
  <c r="DW76" i="1"/>
  <c r="DX76" i="1" s="1"/>
  <c r="DW112" i="1"/>
  <c r="DX112" i="1" s="1"/>
  <c r="DW80" i="1"/>
  <c r="DX80" i="1" s="1"/>
  <c r="DW81" i="1"/>
  <c r="DX81" i="1" s="1"/>
  <c r="DW82" i="1"/>
  <c r="DX82" i="1" s="1"/>
  <c r="DW25" i="1"/>
  <c r="DX25" i="1" s="1"/>
  <c r="DW43" i="1"/>
  <c r="DX43" i="1" s="1"/>
  <c r="GB113" i="1"/>
  <c r="GB114" i="1"/>
  <c r="HC65" i="1"/>
  <c r="HC89" i="1"/>
  <c r="HC23" i="1"/>
  <c r="HC91" i="1"/>
  <c r="HC61" i="1"/>
  <c r="HC16" i="1"/>
  <c r="HC145" i="1"/>
  <c r="HC12" i="1"/>
  <c r="HC13" i="1"/>
  <c r="U56" i="1"/>
  <c r="T56" i="1"/>
  <c r="S56" i="1"/>
  <c r="S143" i="1"/>
  <c r="S71" i="1"/>
  <c r="S112" i="1"/>
  <c r="S57" i="1"/>
  <c r="S76" i="1"/>
  <c r="GH71" i="1"/>
  <c r="FZ71" i="1" s="1"/>
  <c r="GO71" i="1" s="1"/>
  <c r="DG90" i="1"/>
  <c r="DI90" i="1" s="1"/>
  <c r="DF90" i="1"/>
  <c r="CT90" i="1"/>
  <c r="CV90" i="1" s="1"/>
  <c r="CO90" i="1"/>
  <c r="CQ90" i="1" s="1"/>
  <c r="CL90" i="1"/>
  <c r="CN90" i="1" s="1"/>
  <c r="CK90" i="1"/>
  <c r="CF90" i="1"/>
  <c r="CH90" i="1" s="1"/>
  <c r="CC90" i="1"/>
  <c r="CE90" i="1" s="1"/>
  <c r="FI39" i="1"/>
  <c r="FI13" i="1"/>
  <c r="FI12" i="1"/>
  <c r="FI145" i="1"/>
  <c r="FI25" i="1"/>
  <c r="FI17" i="1"/>
  <c r="FI15" i="1"/>
  <c r="FI90" i="1"/>
  <c r="FI40" i="1"/>
  <c r="FI26" i="1"/>
  <c r="FI45" i="1"/>
  <c r="FI43" i="1"/>
  <c r="FI41" i="1"/>
  <c r="FI100" i="1"/>
  <c r="FI99" i="1"/>
  <c r="FI88" i="1"/>
  <c r="FI34" i="1"/>
  <c r="FI51" i="1"/>
  <c r="FI38" i="1"/>
  <c r="FI21" i="1"/>
  <c r="FI22" i="1"/>
  <c r="GU154" i="1"/>
  <c r="GU157" i="1"/>
  <c r="HA154" i="1"/>
  <c r="HA157" i="1"/>
  <c r="HB154" i="1"/>
  <c r="HB157" i="1"/>
  <c r="AM84" i="1"/>
  <c r="V90" i="1"/>
  <c r="GS51" i="1"/>
  <c r="Y15" i="1"/>
  <c r="AS38" i="1"/>
  <c r="AE45" i="1"/>
  <c r="AT12" i="1"/>
  <c r="O16" i="1"/>
  <c r="W16" i="1" s="1"/>
  <c r="GW23" i="1"/>
  <c r="GY64" i="1"/>
  <c r="GT43" i="1"/>
  <c r="V30" i="1"/>
  <c r="AR65" i="1"/>
  <c r="GT25" i="1"/>
  <c r="GT73" i="1"/>
  <c r="V93" i="1"/>
  <c r="GT80" i="1"/>
  <c r="GG81" i="1"/>
  <c r="W28" i="1"/>
  <c r="GT58" i="1"/>
  <c r="AL76" i="1"/>
  <c r="GS118" i="1"/>
  <c r="GS62" i="1"/>
  <c r="AU113" i="1"/>
  <c r="GW114" i="1"/>
  <c r="GG112" i="1"/>
  <c r="AL87" i="1"/>
  <c r="AR57" i="1"/>
  <c r="AE5" i="1"/>
  <c r="AL100" i="1"/>
  <c r="AE8" i="1"/>
  <c r="AL92" i="1"/>
  <c r="AM2" i="1"/>
  <c r="W3" i="1"/>
  <c r="GY11" i="1"/>
  <c r="AM7" i="1"/>
  <c r="AE4" i="1"/>
  <c r="AE17" i="1"/>
  <c r="R14" i="1"/>
  <c r="Y44" i="1"/>
  <c r="AT22" i="1"/>
  <c r="Y47" i="1"/>
  <c r="GS88" i="1"/>
  <c r="GW21" i="1"/>
  <c r="V20" i="1"/>
  <c r="GW18" i="1"/>
  <c r="GG98" i="1"/>
  <c r="R42" i="1"/>
  <c r="GS86" i="1"/>
  <c r="R56" i="1"/>
  <c r="GG56" i="1"/>
  <c r="AS56" i="1"/>
  <c r="AR56" i="1"/>
  <c r="AU56" i="1"/>
  <c r="AQ56" i="1"/>
  <c r="AT56" i="1"/>
  <c r="U71" i="1"/>
  <c r="U114" i="1"/>
  <c r="U113" i="1"/>
  <c r="U57" i="1"/>
  <c r="U76" i="1"/>
  <c r="T112" i="1"/>
  <c r="T71" i="1"/>
  <c r="T57" i="1"/>
  <c r="T76" i="1"/>
  <c r="FI61" i="1"/>
  <c r="EB7" i="1"/>
  <c r="ED7" i="1" s="1"/>
  <c r="EB8" i="1"/>
  <c r="ED8" i="1" s="1"/>
  <c r="EB100" i="1"/>
  <c r="EB6" i="1"/>
  <c r="ED6" i="1" s="1"/>
  <c r="EB19" i="1"/>
  <c r="EK19" i="1" s="1"/>
  <c r="EN19" i="1" s="1"/>
  <c r="EB17" i="1"/>
  <c r="EK17" i="1" s="1"/>
  <c r="EN17" i="1" s="1"/>
  <c r="EB3" i="1"/>
  <c r="EB25" i="1"/>
  <c r="ED25" i="1" s="1"/>
  <c r="EB23" i="1"/>
  <c r="ED23" i="1" s="1"/>
  <c r="EB4" i="1"/>
  <c r="EK4" i="1" s="1"/>
  <c r="EN4" i="1" s="1"/>
  <c r="EP4" i="1" s="1"/>
  <c r="EB27" i="1"/>
  <c r="EB145" i="1"/>
  <c r="EB39" i="1"/>
  <c r="EK39" i="1" s="1"/>
  <c r="EN39" i="1" s="1"/>
  <c r="EP39" i="1" s="1"/>
  <c r="EB13" i="1"/>
  <c r="EK13" i="1" s="1"/>
  <c r="EN13" i="1" s="1"/>
  <c r="EB24" i="1"/>
  <c r="EB41" i="1"/>
  <c r="EB43" i="1"/>
  <c r="ED43" i="1" s="1"/>
  <c r="EB16" i="1"/>
  <c r="ED16" i="1" s="1"/>
  <c r="EB12" i="1"/>
  <c r="EB36" i="1"/>
  <c r="EK36" i="1" s="1"/>
  <c r="EN36" i="1" s="1"/>
  <c r="EP36" i="1" s="1"/>
  <c r="EB45" i="1"/>
  <c r="ED45" i="1" s="1"/>
  <c r="EB38" i="1"/>
  <c r="ED38" i="1" s="1"/>
  <c r="EB48" i="1"/>
  <c r="ED48" i="1" s="1"/>
  <c r="EB15" i="1"/>
  <c r="ED15" i="1" s="1"/>
  <c r="EB51" i="1"/>
  <c r="ED51" i="1" s="1"/>
  <c r="EB99" i="1"/>
  <c r="ED99" i="1" s="1"/>
  <c r="EB26" i="1"/>
  <c r="EB104" i="1"/>
  <c r="EK104" i="1" s="1"/>
  <c r="EN104" i="1" s="1"/>
  <c r="EB90" i="1"/>
  <c r="EK90" i="1" s="1"/>
  <c r="EN90" i="1" s="1"/>
  <c r="EB84" i="1"/>
  <c r="EK84" i="1" s="1"/>
  <c r="EN84" i="1" s="1"/>
  <c r="EP84" i="1" s="1"/>
  <c r="EB40" i="1"/>
  <c r="EB134" i="1"/>
  <c r="EB42" i="1"/>
  <c r="EB98" i="1"/>
  <c r="ED98" i="1" s="1"/>
  <c r="EB49" i="1"/>
  <c r="EB18" i="1"/>
  <c r="EB20" i="1"/>
  <c r="ED20" i="1" s="1"/>
  <c r="EB21" i="1"/>
  <c r="EK21" i="1" s="1"/>
  <c r="EN21" i="1" s="1"/>
  <c r="EB77" i="1"/>
  <c r="EB88" i="1"/>
  <c r="EB47" i="1"/>
  <c r="ED47" i="1" s="1"/>
  <c r="EB22" i="1"/>
  <c r="EK22" i="1" s="1"/>
  <c r="EN22" i="1" s="1"/>
  <c r="EB34" i="1"/>
  <c r="ED34" i="1" s="1"/>
  <c r="EB44" i="1"/>
  <c r="EB14" i="1"/>
  <c r="ED14" i="1" s="1"/>
  <c r="EB5" i="1"/>
  <c r="EK5" i="1" s="1"/>
  <c r="EN5" i="1" s="1"/>
  <c r="EP5" i="1" s="1"/>
  <c r="EB9" i="1"/>
  <c r="ED9" i="1" s="1"/>
  <c r="EB10" i="1"/>
  <c r="EI54" i="1"/>
  <c r="DC45" i="1"/>
  <c r="CE44" i="1"/>
  <c r="DW29" i="1"/>
  <c r="DX29" i="1" s="1"/>
  <c r="CU67" i="1"/>
  <c r="CV67" i="1" s="1"/>
  <c r="CU72" i="1"/>
  <c r="CV72" i="1" s="1"/>
  <c r="CU66" i="1"/>
  <c r="CV66" i="1" s="1"/>
  <c r="CU68" i="1"/>
  <c r="CV68" i="1" s="1"/>
  <c r="CP67" i="1"/>
  <c r="CQ67" i="1" s="1"/>
  <c r="CP72" i="1"/>
  <c r="CQ72" i="1" s="1"/>
  <c r="CP66" i="1"/>
  <c r="CQ66" i="1" s="1"/>
  <c r="CP68" i="1"/>
  <c r="CQ68" i="1" s="1"/>
  <c r="CM67" i="1"/>
  <c r="CN67" i="1" s="1"/>
  <c r="CM72" i="1"/>
  <c r="CN72" i="1" s="1"/>
  <c r="CM66" i="1"/>
  <c r="CN66" i="1" s="1"/>
  <c r="CM68" i="1"/>
  <c r="CN68" i="1" s="1"/>
  <c r="CJ67" i="1"/>
  <c r="CK67" i="1" s="1"/>
  <c r="CJ72" i="1"/>
  <c r="CK72" i="1" s="1"/>
  <c r="CJ66" i="1"/>
  <c r="CK66" i="1" s="1"/>
  <c r="CJ68" i="1"/>
  <c r="CK68" i="1" s="1"/>
  <c r="CG67" i="1"/>
  <c r="CH67" i="1" s="1"/>
  <c r="CG72" i="1"/>
  <c r="CH72" i="1" s="1"/>
  <c r="CG66" i="1"/>
  <c r="CH66" i="1" s="1"/>
  <c r="CG68" i="1"/>
  <c r="CH68" i="1" s="1"/>
  <c r="DW28" i="1"/>
  <c r="DX28" i="1" s="1"/>
  <c r="DW11" i="1"/>
  <c r="DX11" i="1" s="1"/>
  <c r="DH54" i="1"/>
  <c r="EF54" i="1" s="1"/>
  <c r="FB62" i="1"/>
  <c r="CU54" i="1"/>
  <c r="CV54" i="1" s="1"/>
  <c r="CU62" i="1"/>
  <c r="CV62" i="1" s="1"/>
  <c r="CU58" i="1"/>
  <c r="CV58" i="1" s="1"/>
  <c r="CU60" i="1"/>
  <c r="CV60" i="1" s="1"/>
  <c r="CU59" i="1"/>
  <c r="CV59" i="1" s="1"/>
  <c r="CU63" i="1"/>
  <c r="CV63" i="1" s="1"/>
  <c r="CU11" i="1"/>
  <c r="CV11" i="1" s="1"/>
  <c r="CP54" i="1"/>
  <c r="CQ54" i="1" s="1"/>
  <c r="CP58" i="1"/>
  <c r="CQ58" i="1" s="1"/>
  <c r="CP60" i="1"/>
  <c r="CQ60" i="1" s="1"/>
  <c r="CP63" i="1"/>
  <c r="CQ63" i="1" s="1"/>
  <c r="CP11" i="1"/>
  <c r="CQ11" i="1" s="1"/>
  <c r="CM58" i="1"/>
  <c r="CN58" i="1" s="1"/>
  <c r="CM60" i="1"/>
  <c r="CN60" i="1" s="1"/>
  <c r="CM63" i="1"/>
  <c r="CN63" i="1" s="1"/>
  <c r="CM11" i="1"/>
  <c r="CN11" i="1" s="1"/>
  <c r="CE60" i="1"/>
  <c r="CE69" i="1"/>
  <c r="CE59" i="1"/>
  <c r="CE63" i="1"/>
  <c r="DN36" i="1"/>
  <c r="DO36" i="1" s="1"/>
  <c r="DX145" i="1"/>
  <c r="DX24" i="1"/>
  <c r="DX13" i="1"/>
  <c r="DW12" i="1"/>
  <c r="DX12" i="1" s="1"/>
  <c r="DU145" i="1"/>
  <c r="DU24" i="1"/>
  <c r="DU13" i="1"/>
  <c r="DU12" i="1"/>
  <c r="DR145" i="1"/>
  <c r="DR24" i="1"/>
  <c r="DR13" i="1"/>
  <c r="DR12" i="1"/>
  <c r="DO145" i="1"/>
  <c r="DO24" i="1"/>
  <c r="DO13" i="1"/>
  <c r="DO41" i="1"/>
  <c r="DO23" i="1"/>
  <c r="DO12" i="1"/>
  <c r="DL24" i="1"/>
  <c r="DL23" i="1"/>
  <c r="DL77" i="1"/>
  <c r="DK4" i="1"/>
  <c r="DL4" i="1" s="1"/>
  <c r="DL21" i="1"/>
  <c r="DL84" i="1"/>
  <c r="DL27" i="1"/>
  <c r="DL88" i="1"/>
  <c r="DK22" i="1"/>
  <c r="DL22" i="1" s="1"/>
  <c r="DL12" i="1"/>
  <c r="DI12" i="1"/>
  <c r="DI24" i="1"/>
  <c r="DI23" i="1"/>
  <c r="DF23" i="1"/>
  <c r="DF12" i="1"/>
  <c r="DX38" i="1"/>
  <c r="DX45" i="1"/>
  <c r="DX10" i="1"/>
  <c r="DX104" i="1"/>
  <c r="DX8" i="1"/>
  <c r="DX7" i="1"/>
  <c r="DX9" i="1"/>
  <c r="DX100" i="1"/>
  <c r="DX99" i="1"/>
  <c r="DX98" i="1"/>
  <c r="DX20" i="1"/>
  <c r="DX6" i="1"/>
  <c r="DX5" i="1"/>
  <c r="DX19" i="1"/>
  <c r="DX18" i="1"/>
  <c r="DX26" i="1"/>
  <c r="DX22" i="1"/>
  <c r="DX88" i="1"/>
  <c r="DX27" i="1"/>
  <c r="DX84" i="1"/>
  <c r="DX21" i="1"/>
  <c r="DX4" i="1"/>
  <c r="DX77" i="1"/>
  <c r="DX3" i="1"/>
  <c r="DX134" i="1"/>
  <c r="DX51" i="1"/>
  <c r="DX49" i="1"/>
  <c r="DX23" i="1"/>
  <c r="DX47" i="1"/>
  <c r="DX39" i="1"/>
  <c r="DX42" i="1"/>
  <c r="DX36" i="1"/>
  <c r="DX14" i="1"/>
  <c r="DX2" i="1"/>
  <c r="DX40" i="1"/>
  <c r="DX34" i="1"/>
  <c r="DX17" i="1"/>
  <c r="DX15" i="1"/>
  <c r="DX44" i="1"/>
  <c r="DX16" i="1"/>
  <c r="DU38" i="1"/>
  <c r="DU45" i="1"/>
  <c r="DU43" i="1"/>
  <c r="DU10" i="1"/>
  <c r="DU104" i="1"/>
  <c r="DU8" i="1"/>
  <c r="DU7" i="1"/>
  <c r="DU9" i="1"/>
  <c r="DU100" i="1"/>
  <c r="DU99" i="1"/>
  <c r="DU98" i="1"/>
  <c r="DU20" i="1"/>
  <c r="DU6" i="1"/>
  <c r="DU5" i="1"/>
  <c r="DU19" i="1"/>
  <c r="DU18" i="1"/>
  <c r="DU26" i="1"/>
  <c r="DU22" i="1"/>
  <c r="DU88" i="1"/>
  <c r="DU27" i="1"/>
  <c r="DU84" i="1"/>
  <c r="DU21" i="1"/>
  <c r="DU4" i="1"/>
  <c r="DU77" i="1"/>
  <c r="DU3" i="1"/>
  <c r="DU134" i="1"/>
  <c r="DU51" i="1"/>
  <c r="DU49" i="1"/>
  <c r="DU23" i="1"/>
  <c r="DU47" i="1"/>
  <c r="DU39" i="1"/>
  <c r="DU42" i="1"/>
  <c r="DU36" i="1"/>
  <c r="DU14" i="1"/>
  <c r="DU2" i="1"/>
  <c r="DU40" i="1"/>
  <c r="DU34" i="1"/>
  <c r="DU17" i="1"/>
  <c r="DU15" i="1"/>
  <c r="DU44" i="1"/>
  <c r="DU16" i="1"/>
  <c r="DR38" i="1"/>
  <c r="DR45" i="1"/>
  <c r="DR43" i="1"/>
  <c r="DR10" i="1"/>
  <c r="DR104" i="1"/>
  <c r="DR8" i="1"/>
  <c r="DR7" i="1"/>
  <c r="DR9" i="1"/>
  <c r="DR100" i="1"/>
  <c r="DR99" i="1"/>
  <c r="DR98" i="1"/>
  <c r="DR20" i="1"/>
  <c r="DR6" i="1"/>
  <c r="DR5" i="1"/>
  <c r="DR19" i="1"/>
  <c r="DR18" i="1"/>
  <c r="DR26" i="1"/>
  <c r="DR22" i="1"/>
  <c r="DR88" i="1"/>
  <c r="DR27" i="1"/>
  <c r="DR84" i="1"/>
  <c r="DR21" i="1"/>
  <c r="DR4" i="1"/>
  <c r="DR77" i="1"/>
  <c r="DR3" i="1"/>
  <c r="DR134" i="1"/>
  <c r="DR51" i="1"/>
  <c r="DR49" i="1"/>
  <c r="DR23" i="1"/>
  <c r="DR47" i="1"/>
  <c r="DR39" i="1"/>
  <c r="DR42" i="1"/>
  <c r="DR36" i="1"/>
  <c r="DR14" i="1"/>
  <c r="DR2" i="1"/>
  <c r="DR40" i="1"/>
  <c r="DR34" i="1"/>
  <c r="DR17" i="1"/>
  <c r="DR15" i="1"/>
  <c r="DR44" i="1"/>
  <c r="DR16" i="1"/>
  <c r="DO38" i="1"/>
  <c r="DO45" i="1"/>
  <c r="DO43" i="1"/>
  <c r="DO10" i="1"/>
  <c r="DO104" i="1"/>
  <c r="DO8" i="1"/>
  <c r="DO7" i="1"/>
  <c r="DO9" i="1"/>
  <c r="DO100" i="1"/>
  <c r="DO99" i="1"/>
  <c r="DO98" i="1"/>
  <c r="DO20" i="1"/>
  <c r="DO6" i="1"/>
  <c r="DO5" i="1"/>
  <c r="DO19" i="1"/>
  <c r="DO18" i="1"/>
  <c r="DO26" i="1"/>
  <c r="DO22" i="1"/>
  <c r="DO88" i="1"/>
  <c r="DO27" i="1"/>
  <c r="DO84" i="1"/>
  <c r="DO21" i="1"/>
  <c r="DO4" i="1"/>
  <c r="DO77" i="1"/>
  <c r="DO25" i="1"/>
  <c r="DO3" i="1"/>
  <c r="DO134" i="1"/>
  <c r="DO51" i="1"/>
  <c r="DO49" i="1"/>
  <c r="DO47" i="1"/>
  <c r="DO39" i="1"/>
  <c r="DO42" i="1"/>
  <c r="DO14" i="1"/>
  <c r="DO2" i="1"/>
  <c r="DO40" i="1"/>
  <c r="DO34" i="1"/>
  <c r="DO17" i="1"/>
  <c r="DO15" i="1"/>
  <c r="DO44" i="1"/>
  <c r="DO16" i="1"/>
  <c r="DL38" i="1"/>
  <c r="DL45" i="1"/>
  <c r="DL43" i="1"/>
  <c r="DL10" i="1"/>
  <c r="DL145" i="1"/>
  <c r="DL104" i="1"/>
  <c r="DL8" i="1"/>
  <c r="DL7" i="1"/>
  <c r="DL9" i="1"/>
  <c r="DL100" i="1"/>
  <c r="DL99" i="1"/>
  <c r="DL98" i="1"/>
  <c r="DL20" i="1"/>
  <c r="DL6" i="1"/>
  <c r="DL5" i="1"/>
  <c r="DL19" i="1"/>
  <c r="DL18" i="1"/>
  <c r="DL13" i="1"/>
  <c r="DL41" i="1"/>
  <c r="DL25" i="1"/>
  <c r="DL3" i="1"/>
  <c r="DL134" i="1"/>
  <c r="DL51" i="1"/>
  <c r="DL49" i="1"/>
  <c r="DL47" i="1"/>
  <c r="DL39" i="1"/>
  <c r="DL42" i="1"/>
  <c r="DL36" i="1"/>
  <c r="DL14" i="1"/>
  <c r="DL2" i="1"/>
  <c r="DL40" i="1"/>
  <c r="DL34" i="1"/>
  <c r="DL17" i="1"/>
  <c r="DL15" i="1"/>
  <c r="DL44" i="1"/>
  <c r="DL16" i="1"/>
  <c r="DX48" i="1"/>
  <c r="DU48" i="1"/>
  <c r="DR48" i="1"/>
  <c r="DO48" i="1"/>
  <c r="DL48" i="1"/>
  <c r="DI16" i="1"/>
  <c r="DI44" i="1"/>
  <c r="DI15" i="1"/>
  <c r="DI17" i="1"/>
  <c r="DI34" i="1"/>
  <c r="DI40" i="1"/>
  <c r="DI2" i="1"/>
  <c r="DI14" i="1"/>
  <c r="DI36" i="1"/>
  <c r="DI42" i="1"/>
  <c r="DI39" i="1"/>
  <c r="DI47" i="1"/>
  <c r="DI49" i="1"/>
  <c r="DI51" i="1"/>
  <c r="DI134" i="1"/>
  <c r="DI3" i="1"/>
  <c r="DI25" i="1"/>
  <c r="DI41" i="1"/>
  <c r="DI77" i="1"/>
  <c r="DI4" i="1"/>
  <c r="DI21" i="1"/>
  <c r="DI84" i="1"/>
  <c r="DI27" i="1"/>
  <c r="DI88" i="1"/>
  <c r="DI22" i="1"/>
  <c r="DI26" i="1"/>
  <c r="DI13" i="1"/>
  <c r="DI18" i="1"/>
  <c r="DI19" i="1"/>
  <c r="DI5" i="1"/>
  <c r="DI6" i="1"/>
  <c r="DI20" i="1"/>
  <c r="DI98" i="1"/>
  <c r="DI99" i="1"/>
  <c r="DI100" i="1"/>
  <c r="DI28" i="1"/>
  <c r="DI9" i="1"/>
  <c r="DI7" i="1"/>
  <c r="DI8" i="1"/>
  <c r="DI104" i="1"/>
  <c r="DI145" i="1"/>
  <c r="DI10" i="1"/>
  <c r="DI43" i="1"/>
  <c r="DI45" i="1"/>
  <c r="DI38" i="1"/>
  <c r="DI48" i="1"/>
  <c r="CV44" i="1"/>
  <c r="CV15" i="1"/>
  <c r="CV17" i="1"/>
  <c r="CV34" i="1"/>
  <c r="CV69" i="1"/>
  <c r="CV40" i="1"/>
  <c r="CV2" i="1"/>
  <c r="CV14" i="1"/>
  <c r="CV36" i="1"/>
  <c r="CV42" i="1"/>
  <c r="CV47" i="1"/>
  <c r="CV49" i="1"/>
  <c r="CV51" i="1"/>
  <c r="CV134" i="1"/>
  <c r="CV3" i="1"/>
  <c r="CV25" i="1"/>
  <c r="CV77" i="1"/>
  <c r="CV4" i="1"/>
  <c r="CV21" i="1"/>
  <c r="CV84" i="1"/>
  <c r="CV88" i="1"/>
  <c r="CV22" i="1"/>
  <c r="CV26" i="1"/>
  <c r="CV18" i="1"/>
  <c r="CV19" i="1"/>
  <c r="CV5" i="1"/>
  <c r="CV6" i="1"/>
  <c r="CV20" i="1"/>
  <c r="CV98" i="1"/>
  <c r="CV99" i="1"/>
  <c r="CV100" i="1"/>
  <c r="CV61" i="1"/>
  <c r="CV9" i="1"/>
  <c r="CV7" i="1"/>
  <c r="CV8" i="1"/>
  <c r="CV104" i="1"/>
  <c r="CV10" i="1"/>
  <c r="CV43" i="1"/>
  <c r="CV38" i="1"/>
  <c r="CQ44" i="1"/>
  <c r="CQ15" i="1"/>
  <c r="CQ17" i="1"/>
  <c r="CQ34" i="1"/>
  <c r="CQ40" i="1"/>
  <c r="CQ2" i="1"/>
  <c r="CQ14" i="1"/>
  <c r="CQ42" i="1"/>
  <c r="CQ47" i="1"/>
  <c r="CQ49" i="1"/>
  <c r="CQ134" i="1"/>
  <c r="CQ3" i="1"/>
  <c r="CQ77" i="1"/>
  <c r="CQ4" i="1"/>
  <c r="CQ21" i="1"/>
  <c r="CQ84" i="1"/>
  <c r="CQ88" i="1"/>
  <c r="CQ22" i="1"/>
  <c r="CQ26" i="1"/>
  <c r="CQ18" i="1"/>
  <c r="CQ19" i="1"/>
  <c r="CQ5" i="1"/>
  <c r="CQ6" i="1"/>
  <c r="CQ20" i="1"/>
  <c r="CQ98" i="1"/>
  <c r="CQ99" i="1"/>
  <c r="CQ100" i="1"/>
  <c r="CQ9" i="1"/>
  <c r="CQ7" i="1"/>
  <c r="CQ8" i="1"/>
  <c r="CQ104" i="1"/>
  <c r="CQ10" i="1"/>
  <c r="CN44" i="1"/>
  <c r="CN15" i="1"/>
  <c r="CN17" i="1"/>
  <c r="CN34" i="1"/>
  <c r="CN40" i="1"/>
  <c r="CN2" i="1"/>
  <c r="CN14" i="1"/>
  <c r="CN42" i="1"/>
  <c r="CN47" i="1"/>
  <c r="CN49" i="1"/>
  <c r="CN51" i="1"/>
  <c r="CN134" i="1"/>
  <c r="CN3" i="1"/>
  <c r="CN77" i="1"/>
  <c r="CN4" i="1"/>
  <c r="CN21" i="1"/>
  <c r="CN84" i="1"/>
  <c r="CN88" i="1"/>
  <c r="CN22" i="1"/>
  <c r="CN26" i="1"/>
  <c r="CN18" i="1"/>
  <c r="CN19" i="1"/>
  <c r="CN5" i="1"/>
  <c r="CN6" i="1"/>
  <c r="CN20" i="1"/>
  <c r="CN98" i="1"/>
  <c r="CN99" i="1"/>
  <c r="CN100" i="1"/>
  <c r="CN9" i="1"/>
  <c r="CN7" i="1"/>
  <c r="CN8" i="1"/>
  <c r="CN104" i="1"/>
  <c r="CN10" i="1"/>
  <c r="CK44" i="1"/>
  <c r="CK34" i="1"/>
  <c r="CK40" i="1"/>
  <c r="CK2" i="1"/>
  <c r="CK14" i="1"/>
  <c r="CK47" i="1"/>
  <c r="CK134" i="1"/>
  <c r="CK3" i="1"/>
  <c r="CK77" i="1"/>
  <c r="CK4" i="1"/>
  <c r="CK21" i="1"/>
  <c r="CK84" i="1"/>
  <c r="CK88" i="1"/>
  <c r="CK22" i="1"/>
  <c r="CK26" i="1"/>
  <c r="CK18" i="1"/>
  <c r="CK19" i="1"/>
  <c r="CK5" i="1"/>
  <c r="CK6" i="1"/>
  <c r="CK20" i="1"/>
  <c r="CK99" i="1"/>
  <c r="CK9" i="1"/>
  <c r="CK7" i="1"/>
  <c r="CK8" i="1"/>
  <c r="CK10" i="1"/>
  <c r="CH44" i="1"/>
  <c r="CH15" i="1"/>
  <c r="CH17" i="1"/>
  <c r="CH34" i="1"/>
  <c r="CH40" i="1"/>
  <c r="CH2" i="1"/>
  <c r="CH14" i="1"/>
  <c r="CH42" i="1"/>
  <c r="CH47" i="1"/>
  <c r="CH49" i="1"/>
  <c r="CH51" i="1"/>
  <c r="CH134" i="1"/>
  <c r="CH3" i="1"/>
  <c r="CH77" i="1"/>
  <c r="CH4" i="1"/>
  <c r="CH21" i="1"/>
  <c r="CH84" i="1"/>
  <c r="CH88" i="1"/>
  <c r="CH22" i="1"/>
  <c r="CH26" i="1"/>
  <c r="CH18" i="1"/>
  <c r="CH19" i="1"/>
  <c r="CH5" i="1"/>
  <c r="CH6" i="1"/>
  <c r="CH20" i="1"/>
  <c r="CH98" i="1"/>
  <c r="CH99" i="1"/>
  <c r="CH100" i="1"/>
  <c r="CH54" i="1"/>
  <c r="CH9" i="1"/>
  <c r="CH7" i="1"/>
  <c r="CH8" i="1"/>
  <c r="CH104" i="1"/>
  <c r="CH10" i="1"/>
  <c r="CE58" i="1"/>
  <c r="CE2" i="1"/>
  <c r="CE47" i="1"/>
  <c r="CE62" i="1"/>
  <c r="CE3" i="1"/>
  <c r="CE77" i="1"/>
  <c r="CE4" i="1"/>
  <c r="CE18" i="1"/>
  <c r="CE5" i="1"/>
  <c r="CE6" i="1"/>
  <c r="CE20" i="1"/>
  <c r="CE9" i="1"/>
  <c r="CE7" i="1"/>
  <c r="CE8" i="1"/>
  <c r="CE10" i="1"/>
  <c r="DF16" i="1"/>
  <c r="DF44" i="1"/>
  <c r="DF15" i="1"/>
  <c r="DF17" i="1"/>
  <c r="DF34" i="1"/>
  <c r="DF40" i="1"/>
  <c r="DF2" i="1"/>
  <c r="DF14" i="1"/>
  <c r="DF36" i="1"/>
  <c r="DF42" i="1"/>
  <c r="DF39" i="1"/>
  <c r="DF47" i="1"/>
  <c r="DF49" i="1"/>
  <c r="DF51" i="1"/>
  <c r="DF134" i="1"/>
  <c r="DF3" i="1"/>
  <c r="DF25" i="1"/>
  <c r="DF41" i="1"/>
  <c r="DF77" i="1"/>
  <c r="DF4" i="1"/>
  <c r="DF21" i="1"/>
  <c r="DF84" i="1"/>
  <c r="DF27" i="1"/>
  <c r="DF88" i="1"/>
  <c r="DF22" i="1"/>
  <c r="DF26" i="1"/>
  <c r="DF13" i="1"/>
  <c r="DF18" i="1"/>
  <c r="DF19" i="1"/>
  <c r="DF5" i="1"/>
  <c r="DF6" i="1"/>
  <c r="DF24" i="1"/>
  <c r="DF20" i="1"/>
  <c r="DF98" i="1"/>
  <c r="DF99" i="1"/>
  <c r="DF100" i="1"/>
  <c r="DF28" i="1"/>
  <c r="DF9" i="1"/>
  <c r="DF7" i="1"/>
  <c r="DF8" i="1"/>
  <c r="DF104" i="1"/>
  <c r="DF145" i="1"/>
  <c r="DF10" i="1"/>
  <c r="DF43" i="1"/>
  <c r="DF45" i="1"/>
  <c r="DF38" i="1"/>
  <c r="DF48" i="1"/>
  <c r="DU41" i="1"/>
  <c r="DX41" i="1"/>
  <c r="DL26" i="1"/>
  <c r="DR41" i="1"/>
  <c r="AS84" i="1"/>
  <c r="CZ76" i="1"/>
  <c r="CZ113" i="1"/>
  <c r="CZ112" i="1"/>
  <c r="CZ93" i="1"/>
  <c r="CZ89" i="1"/>
  <c r="CZ29" i="1"/>
  <c r="CZ25" i="1"/>
  <c r="CZ91" i="1"/>
  <c r="CZ11" i="1"/>
  <c r="CZ23" i="1"/>
  <c r="CZ28" i="1"/>
  <c r="CZ24" i="1"/>
  <c r="CZ27" i="1"/>
  <c r="CZ41" i="1"/>
  <c r="CZ16" i="1"/>
  <c r="CZ12" i="1"/>
  <c r="CZ36" i="1"/>
  <c r="CZ13" i="1"/>
  <c r="CZ39" i="1"/>
  <c r="CZ145" i="1"/>
  <c r="CZ43" i="1"/>
  <c r="CZ48" i="1"/>
  <c r="CZ38" i="1"/>
  <c r="CZ45" i="1"/>
  <c r="CZ51" i="1"/>
  <c r="CZ15" i="1"/>
  <c r="CZ17" i="1"/>
  <c r="CZ104" i="1"/>
  <c r="CZ49" i="1"/>
  <c r="CZ42" i="1"/>
  <c r="CZ98" i="1"/>
  <c r="CZ99" i="1"/>
  <c r="CZ100" i="1"/>
  <c r="CZ26" i="1"/>
  <c r="CZ84" i="1"/>
  <c r="CZ90" i="1"/>
  <c r="CZ40" i="1"/>
  <c r="CZ21" i="1"/>
  <c r="CZ22" i="1"/>
  <c r="CZ134" i="1"/>
  <c r="CZ14" i="1"/>
  <c r="CZ34" i="1"/>
  <c r="CZ88" i="1"/>
  <c r="CZ18" i="1"/>
  <c r="CZ19" i="1"/>
  <c r="CZ47" i="1"/>
  <c r="CZ77" i="1"/>
  <c r="CZ20" i="1"/>
  <c r="CZ4" i="1"/>
  <c r="CZ3" i="1"/>
  <c r="CZ5" i="1"/>
  <c r="CZ6" i="1"/>
  <c r="CZ9" i="1"/>
  <c r="CZ7" i="1"/>
  <c r="CZ8" i="1"/>
  <c r="CZ10" i="1"/>
  <c r="CZ2" i="1"/>
  <c r="AH154" i="1"/>
  <c r="AH157" i="1"/>
  <c r="AF154" i="1"/>
  <c r="AF157" i="1"/>
  <c r="AI154" i="1"/>
  <c r="AI157" i="1"/>
  <c r="GH57" i="1"/>
  <c r="GK57" i="1" s="1"/>
  <c r="GH114" i="1"/>
  <c r="GH113" i="1"/>
  <c r="GK113" i="1" s="1"/>
  <c r="GH76" i="1"/>
  <c r="GH56" i="1"/>
  <c r="GZ83" i="1"/>
  <c r="GZ80" i="1"/>
  <c r="GZ81" i="1"/>
  <c r="GZ82" i="1"/>
  <c r="GZ56" i="1"/>
  <c r="GZ57" i="1"/>
  <c r="DC2" i="1"/>
  <c r="FI54" i="1"/>
  <c r="FI28" i="1"/>
  <c r="FI29" i="1"/>
  <c r="DC29" i="1"/>
  <c r="DC25" i="1"/>
  <c r="DC28" i="1"/>
  <c r="DC54" i="1"/>
  <c r="EN29" i="1"/>
  <c r="EP29" i="1" s="1"/>
  <c r="AX9" i="1"/>
  <c r="R57" i="1"/>
  <c r="W56" i="1"/>
  <c r="V56" i="1"/>
  <c r="GH23" i="1"/>
  <c r="GK23" i="1" s="1"/>
  <c r="GH25" i="1"/>
  <c r="DC38" i="1"/>
  <c r="DC51" i="1"/>
  <c r="K206" i="1"/>
  <c r="K205" i="1"/>
  <c r="K204" i="1"/>
  <c r="K203" i="1"/>
  <c r="K202" i="1"/>
  <c r="K201" i="1"/>
  <c r="K200" i="1"/>
  <c r="I206" i="1"/>
  <c r="I205" i="1"/>
  <c r="I204" i="1"/>
  <c r="I203" i="1"/>
  <c r="I202" i="1"/>
  <c r="I201" i="1"/>
  <c r="G206" i="1"/>
  <c r="G205" i="1"/>
  <c r="G204" i="1"/>
  <c r="G203" i="1"/>
  <c r="G202" i="1"/>
  <c r="G201" i="1"/>
  <c r="E206" i="1"/>
  <c r="E205" i="1"/>
  <c r="E204" i="1"/>
  <c r="E203" i="1"/>
  <c r="E202" i="1"/>
  <c r="E201" i="1"/>
  <c r="E200" i="1"/>
  <c r="C206" i="1"/>
  <c r="C205" i="1"/>
  <c r="C204" i="1"/>
  <c r="C203" i="1"/>
  <c r="C202" i="1"/>
  <c r="C201" i="1"/>
  <c r="C200" i="1"/>
  <c r="GH43" i="1"/>
  <c r="FY43" i="1" s="1"/>
  <c r="GZ43" i="1"/>
  <c r="DC12" i="1"/>
  <c r="DC43" i="1"/>
  <c r="BV43" i="1"/>
  <c r="U43" i="1"/>
  <c r="S43" i="1"/>
  <c r="T43" i="1"/>
  <c r="FI24" i="1"/>
  <c r="DC24" i="1"/>
  <c r="R71" i="1"/>
  <c r="U29" i="1"/>
  <c r="T29" i="1"/>
  <c r="S29" i="1"/>
  <c r="U28" i="1"/>
  <c r="T28" i="1"/>
  <c r="S28" i="1"/>
  <c r="U93" i="1"/>
  <c r="T93" i="1"/>
  <c r="S93" i="1"/>
  <c r="U69" i="1"/>
  <c r="T69" i="1"/>
  <c r="S69" i="1"/>
  <c r="U143" i="1"/>
  <c r="T143" i="1"/>
  <c r="U112" i="1"/>
  <c r="U70" i="1"/>
  <c r="T70" i="1"/>
  <c r="S70" i="1"/>
  <c r="S54" i="1"/>
  <c r="DC42" i="1"/>
  <c r="DC145" i="1"/>
  <c r="DC16" i="1"/>
  <c r="GH27" i="1"/>
  <c r="FZ27" i="1" s="1"/>
  <c r="GO27" i="1" s="1"/>
  <c r="GH93" i="1"/>
  <c r="GK93" i="1" s="1"/>
  <c r="GH61" i="1"/>
  <c r="GH112" i="1"/>
  <c r="GK112" i="1" s="1"/>
  <c r="GH69" i="1"/>
  <c r="GK69" i="1" s="1"/>
  <c r="GH54" i="1"/>
  <c r="FI84" i="1"/>
  <c r="EI84" i="1"/>
  <c r="BV77" i="1"/>
  <c r="BY77" i="1" s="1"/>
  <c r="BV47" i="1"/>
  <c r="BY47" i="1" s="1"/>
  <c r="BV134" i="1"/>
  <c r="BY134" i="1" s="1"/>
  <c r="BV49" i="1"/>
  <c r="BY49" i="1" s="1"/>
  <c r="BZ49" i="1" s="1"/>
  <c r="CA49" i="1" s="1"/>
  <c r="BV21" i="1"/>
  <c r="BV88" i="1"/>
  <c r="BY88" i="1" s="1"/>
  <c r="BV22" i="1"/>
  <c r="BY22" i="1" s="1"/>
  <c r="BV18" i="1"/>
  <c r="BY18" i="1" s="1"/>
  <c r="BV19" i="1"/>
  <c r="BY19" i="1" s="1"/>
  <c r="BV42" i="1"/>
  <c r="BY42" i="1" s="1"/>
  <c r="BV34" i="1"/>
  <c r="BX34" i="1" s="1"/>
  <c r="BV40" i="1"/>
  <c r="BX40" i="1" s="1"/>
  <c r="BV90" i="1"/>
  <c r="BY90" i="1" s="1"/>
  <c r="BV51" i="1"/>
  <c r="BY51" i="1" s="1"/>
  <c r="BV26" i="1"/>
  <c r="BX26" i="1" s="1"/>
  <c r="BV84" i="1"/>
  <c r="BY84" i="1" s="1"/>
  <c r="BZ84" i="1" s="1"/>
  <c r="CA84" i="1" s="1"/>
  <c r="BV38" i="1"/>
  <c r="BV48" i="1"/>
  <c r="BY48" i="1" s="1"/>
  <c r="BZ48" i="1" s="1"/>
  <c r="BV98" i="1"/>
  <c r="BY98" i="1" s="1"/>
  <c r="BZ98" i="1" s="1"/>
  <c r="CA98" i="1" s="1"/>
  <c r="BV99" i="1"/>
  <c r="BY99" i="1" s="1"/>
  <c r="BV100" i="1"/>
  <c r="BV27" i="1"/>
  <c r="BY27" i="1" s="1"/>
  <c r="BV104" i="1"/>
  <c r="BY104" i="1" s="1"/>
  <c r="BV45" i="1"/>
  <c r="BY45" i="1" s="1"/>
  <c r="BZ45" i="1" s="1"/>
  <c r="CA45" i="1" s="1"/>
  <c r="BV15" i="1"/>
  <c r="BY15" i="1" s="1"/>
  <c r="BV17" i="1"/>
  <c r="BV12" i="1"/>
  <c r="BY12" i="1" s="1"/>
  <c r="BZ12" i="1" s="1"/>
  <c r="CA12" i="1" s="1"/>
  <c r="BV16" i="1"/>
  <c r="BX16" i="1" s="1"/>
  <c r="BV41" i="1"/>
  <c r="BV13" i="1"/>
  <c r="BV24" i="1"/>
  <c r="BX24" i="1" s="1"/>
  <c r="BV145" i="1"/>
  <c r="BY145" i="1" s="1"/>
  <c r="BZ145" i="1" s="1"/>
  <c r="CA145" i="1" s="1"/>
  <c r="BV30" i="1"/>
  <c r="BY30" i="1" s="1"/>
  <c r="BZ30" i="1" s="1"/>
  <c r="CA30" i="1" s="1"/>
  <c r="AC188" i="1"/>
  <c r="GS168" i="1"/>
  <c r="GR167" i="1"/>
  <c r="GP167" i="1"/>
  <c r="GS166" i="1"/>
  <c r="GS165" i="1"/>
  <c r="GT164" i="1" s="1"/>
  <c r="GR164" i="1"/>
  <c r="GP164" i="1"/>
  <c r="GS163" i="1"/>
  <c r="GS162" i="1"/>
  <c r="GR161" i="1"/>
  <c r="GP161" i="1"/>
  <c r="GJ154" i="1"/>
  <c r="GJ157" i="1"/>
  <c r="AU69" i="1"/>
  <c r="AT69" i="1"/>
  <c r="AS69" i="1"/>
  <c r="AR69" i="1"/>
  <c r="AQ69" i="1"/>
  <c r="U61" i="1"/>
  <c r="T61" i="1"/>
  <c r="S61" i="1"/>
  <c r="GH70" i="1"/>
  <c r="GK70" i="1" s="1"/>
  <c r="GH89" i="1"/>
  <c r="AX89" i="1"/>
  <c r="U89" i="1"/>
  <c r="T89" i="1"/>
  <c r="GH65" i="1"/>
  <c r="S65" i="1"/>
  <c r="R65" i="1"/>
  <c r="GB73" i="1"/>
  <c r="GH73" i="1"/>
  <c r="S73" i="1"/>
  <c r="GH30" i="1"/>
  <c r="FY30" i="1" s="1"/>
  <c r="U30" i="1"/>
  <c r="T30" i="1"/>
  <c r="S30" i="1"/>
  <c r="GB25" i="1"/>
  <c r="U25" i="1"/>
  <c r="T25" i="1"/>
  <c r="S25" i="1"/>
  <c r="GB91" i="1"/>
  <c r="GH91" i="1"/>
  <c r="U91" i="1"/>
  <c r="T91" i="1"/>
  <c r="S91" i="1"/>
  <c r="GH145" i="1"/>
  <c r="AX145" i="1"/>
  <c r="AG145" i="1"/>
  <c r="AD145" i="1" s="1"/>
  <c r="U145" i="1"/>
  <c r="T145" i="1"/>
  <c r="GH24" i="1"/>
  <c r="FY24" i="1" s="1"/>
  <c r="U24" i="1"/>
  <c r="T24" i="1"/>
  <c r="S24" i="1"/>
  <c r="GH13" i="1"/>
  <c r="U13" i="1"/>
  <c r="T13" i="1"/>
  <c r="S13" i="1"/>
  <c r="AX41" i="1"/>
  <c r="S41" i="1"/>
  <c r="U23" i="1"/>
  <c r="T23" i="1"/>
  <c r="S23" i="1"/>
  <c r="GH64" i="1"/>
  <c r="FZ64" i="1" s="1"/>
  <c r="GO64" i="1" s="1"/>
  <c r="FI64" i="1"/>
  <c r="S64" i="1"/>
  <c r="R64" i="1"/>
  <c r="GH16" i="1"/>
  <c r="GK16" i="1" s="1"/>
  <c r="GH12" i="1"/>
  <c r="GK12" i="1" s="1"/>
  <c r="AS12" i="1"/>
  <c r="GH17" i="1"/>
  <c r="FZ17" i="1" s="1"/>
  <c r="GA17" i="1" s="1"/>
  <c r="EO17" i="1"/>
  <c r="AX17" i="1"/>
  <c r="AU17" i="1"/>
  <c r="AT17" i="1"/>
  <c r="AS17" i="1"/>
  <c r="AR17" i="1"/>
  <c r="GH15" i="1"/>
  <c r="EO15" i="1"/>
  <c r="AX15" i="1"/>
  <c r="AU15" i="1"/>
  <c r="AT15" i="1"/>
  <c r="V15" i="1"/>
  <c r="T15" i="1"/>
  <c r="S15" i="1"/>
  <c r="R15" i="1"/>
  <c r="GB45" i="1"/>
  <c r="GH45" i="1"/>
  <c r="FZ45" i="1" s="1"/>
  <c r="GA45" i="1" s="1"/>
  <c r="AX45" i="1"/>
  <c r="U45" i="1"/>
  <c r="T45" i="1"/>
  <c r="GB104" i="1"/>
  <c r="HK104" i="1" s="1"/>
  <c r="GH104" i="1"/>
  <c r="FZ104" i="1" s="1"/>
  <c r="GC104" i="1" s="1"/>
  <c r="FI104" i="1"/>
  <c r="EO104" i="1"/>
  <c r="U104" i="1"/>
  <c r="EO27" i="1"/>
  <c r="U27" i="1"/>
  <c r="R27" i="1"/>
  <c r="GH39" i="1"/>
  <c r="AX39" i="1"/>
  <c r="X39" i="1"/>
  <c r="U39" i="1"/>
  <c r="T39" i="1"/>
  <c r="GH36" i="1"/>
  <c r="GK36" i="1" s="1"/>
  <c r="AX36" i="1"/>
  <c r="U36" i="1"/>
  <c r="T36" i="1"/>
  <c r="GH100" i="1"/>
  <c r="FZ100" i="1" s="1"/>
  <c r="GA100" i="1" s="1"/>
  <c r="EO100" i="1"/>
  <c r="DC100" i="1"/>
  <c r="BS100" i="1"/>
  <c r="AX100" i="1"/>
  <c r="GH99" i="1"/>
  <c r="EO99" i="1"/>
  <c r="DC99" i="1"/>
  <c r="BS99" i="1"/>
  <c r="AX99" i="1"/>
  <c r="T99" i="1"/>
  <c r="S99" i="1"/>
  <c r="GH98" i="1"/>
  <c r="FZ98" i="1" s="1"/>
  <c r="GO98" i="1" s="1"/>
  <c r="EO98" i="1"/>
  <c r="DC98" i="1"/>
  <c r="BS98" i="1"/>
  <c r="AX98" i="1"/>
  <c r="U98" i="1"/>
  <c r="T98" i="1"/>
  <c r="S98" i="1"/>
  <c r="GH48" i="1"/>
  <c r="FZ48" i="1" s="1"/>
  <c r="GA48" i="1" s="1"/>
  <c r="AX48" i="1"/>
  <c r="U48" i="1"/>
  <c r="T48" i="1"/>
  <c r="S48" i="1"/>
  <c r="GM38" i="1"/>
  <c r="GB38" i="1" s="1"/>
  <c r="GH38" i="1"/>
  <c r="EO38" i="1"/>
  <c r="AX38" i="1"/>
  <c r="U38" i="1"/>
  <c r="T38" i="1"/>
  <c r="GH84" i="1"/>
  <c r="FY84" i="1" s="1"/>
  <c r="DC84" i="1"/>
  <c r="BS84" i="1"/>
  <c r="AX84" i="1"/>
  <c r="U84" i="1"/>
  <c r="T84" i="1"/>
  <c r="GH26" i="1"/>
  <c r="EO26" i="1"/>
  <c r="DC26" i="1"/>
  <c r="BS26" i="1"/>
  <c r="AX26" i="1"/>
  <c r="U26" i="1"/>
  <c r="T26" i="1"/>
  <c r="GH51" i="1"/>
  <c r="FZ51" i="1" s="1"/>
  <c r="EW51" i="1" s="1"/>
  <c r="EO51" i="1"/>
  <c r="BS51" i="1"/>
  <c r="U51" i="1"/>
  <c r="R51" i="1"/>
  <c r="GH90" i="1"/>
  <c r="EO90" i="1"/>
  <c r="DC90" i="1"/>
  <c r="BS90" i="1"/>
  <c r="AX90" i="1"/>
  <c r="U90" i="1"/>
  <c r="T90" i="1"/>
  <c r="GH40" i="1"/>
  <c r="FY40" i="1" s="1"/>
  <c r="EO40" i="1"/>
  <c r="DC40" i="1"/>
  <c r="BS40" i="1"/>
  <c r="AX40" i="1"/>
  <c r="U40" i="1"/>
  <c r="T40" i="1"/>
  <c r="S40" i="1"/>
  <c r="GH34" i="1"/>
  <c r="FY34" i="1" s="1"/>
  <c r="EO34" i="1"/>
  <c r="DC34" i="1"/>
  <c r="AX34" i="1"/>
  <c r="U34" i="1"/>
  <c r="T34" i="1"/>
  <c r="S34" i="1"/>
  <c r="GH42" i="1"/>
  <c r="FZ42" i="1" s="1"/>
  <c r="GC42" i="1" s="1"/>
  <c r="EO42" i="1"/>
  <c r="AX42" i="1"/>
  <c r="U42" i="1"/>
  <c r="T42" i="1"/>
  <c r="S42" i="1"/>
  <c r="GH20" i="1"/>
  <c r="FI20" i="1"/>
  <c r="EO20" i="1"/>
  <c r="DC20" i="1"/>
  <c r="AX20" i="1"/>
  <c r="U20" i="1"/>
  <c r="T20" i="1"/>
  <c r="GH19" i="1"/>
  <c r="FZ19" i="1" s="1"/>
  <c r="HF19" i="1" s="1"/>
  <c r="HG19" i="1" s="1"/>
  <c r="FI19" i="1"/>
  <c r="EO19" i="1"/>
  <c r="DC19" i="1"/>
  <c r="GH18" i="1"/>
  <c r="GK18" i="1" s="1"/>
  <c r="FI18" i="1"/>
  <c r="EO18" i="1"/>
  <c r="DC18" i="1"/>
  <c r="AX18" i="1"/>
  <c r="T18" i="1"/>
  <c r="GH22" i="1"/>
  <c r="FY22" i="1" s="1"/>
  <c r="EO22" i="1"/>
  <c r="DC22" i="1"/>
  <c r="AX22" i="1"/>
  <c r="U22" i="1"/>
  <c r="T22" i="1"/>
  <c r="S22" i="1"/>
  <c r="GH88" i="1"/>
  <c r="EO88" i="1"/>
  <c r="DC88" i="1"/>
  <c r="AW88" i="1"/>
  <c r="AX88" i="1" s="1"/>
  <c r="U88" i="1"/>
  <c r="T88" i="1"/>
  <c r="S88" i="1"/>
  <c r="GH21" i="1"/>
  <c r="FZ21" i="1" s="1"/>
  <c r="HE21" i="1" s="1"/>
  <c r="EO21" i="1"/>
  <c r="DC21" i="1"/>
  <c r="AX21" i="1"/>
  <c r="U21" i="1"/>
  <c r="T21" i="1"/>
  <c r="S21" i="1"/>
  <c r="GH49" i="1"/>
  <c r="FZ49" i="1" s="1"/>
  <c r="FI49" i="1"/>
  <c r="EO49" i="1"/>
  <c r="DC49" i="1"/>
  <c r="BS49" i="1"/>
  <c r="U49" i="1"/>
  <c r="GH134" i="1"/>
  <c r="FY134" i="1" s="1"/>
  <c r="EO134" i="1"/>
  <c r="DC134" i="1"/>
  <c r="AX134" i="1"/>
  <c r="U134" i="1"/>
  <c r="T134" i="1"/>
  <c r="GH47" i="1"/>
  <c r="GK47" i="1" s="1"/>
  <c r="FI47" i="1"/>
  <c r="EO47" i="1"/>
  <c r="DC47" i="1"/>
  <c r="AX47" i="1"/>
  <c r="U47" i="1"/>
  <c r="T47" i="1"/>
  <c r="S47" i="1"/>
  <c r="GH14" i="1"/>
  <c r="FZ14" i="1" s="1"/>
  <c r="GA14" i="1" s="1"/>
  <c r="FI14" i="1"/>
  <c r="EO14" i="1"/>
  <c r="DC14" i="1"/>
  <c r="AX14" i="1"/>
  <c r="U14" i="1"/>
  <c r="T14" i="1"/>
  <c r="S14" i="1"/>
  <c r="GH77" i="1"/>
  <c r="FZ77" i="1" s="1"/>
  <c r="FI77" i="1"/>
  <c r="EO77" i="1"/>
  <c r="DC77" i="1"/>
  <c r="AX77" i="1"/>
  <c r="AV77" i="1"/>
  <c r="U77" i="1"/>
  <c r="T77" i="1"/>
  <c r="S77" i="1"/>
  <c r="GH44" i="1"/>
  <c r="FY44" i="1" s="1"/>
  <c r="EO44" i="1"/>
  <c r="DC44" i="1"/>
  <c r="AX44" i="1"/>
  <c r="U44" i="1"/>
  <c r="T44" i="1"/>
  <c r="S44" i="1"/>
  <c r="GH10" i="1"/>
  <c r="GK10" i="1" s="1"/>
  <c r="FI10" i="1"/>
  <c r="DC10" i="1"/>
  <c r="AX10" i="1"/>
  <c r="U10" i="1"/>
  <c r="T10" i="1"/>
  <c r="GH8" i="1"/>
  <c r="FI8" i="1"/>
  <c r="DC8" i="1"/>
  <c r="AX8" i="1"/>
  <c r="GH7" i="1"/>
  <c r="FY7" i="1" s="1"/>
  <c r="FI7" i="1"/>
  <c r="DC7" i="1"/>
  <c r="AX7" i="1"/>
  <c r="T7" i="1"/>
  <c r="S7" i="1"/>
  <c r="GH9" i="1"/>
  <c r="GK9" i="1" s="1"/>
  <c r="FI9" i="1"/>
  <c r="DC9" i="1"/>
  <c r="U9" i="1"/>
  <c r="T9" i="1"/>
  <c r="GH6" i="1"/>
  <c r="FY6" i="1" s="1"/>
  <c r="FI6" i="1"/>
  <c r="DC6" i="1"/>
  <c r="AX6" i="1"/>
  <c r="AV6" i="1"/>
  <c r="U6" i="1"/>
  <c r="T6" i="1"/>
  <c r="S6" i="1"/>
  <c r="GH5" i="1"/>
  <c r="FY5" i="1" s="1"/>
  <c r="FI5" i="1"/>
  <c r="DC5" i="1"/>
  <c r="GH4" i="1"/>
  <c r="FI4" i="1"/>
  <c r="DC4" i="1"/>
  <c r="U4" i="1"/>
  <c r="GH3" i="1"/>
  <c r="FY3" i="1" s="1"/>
  <c r="FI3" i="1"/>
  <c r="DC3" i="1"/>
  <c r="AX3" i="1"/>
  <c r="U3" i="1"/>
  <c r="T3" i="1"/>
  <c r="S3" i="1"/>
  <c r="GH2" i="1"/>
  <c r="FI2" i="1"/>
  <c r="AX2" i="1"/>
  <c r="U2" i="1"/>
  <c r="T2" i="1"/>
  <c r="S2" i="1"/>
  <c r="DC17" i="1"/>
  <c r="U7" i="1"/>
  <c r="DC15" i="1"/>
  <c r="DC48" i="1"/>
  <c r="FI65" i="1"/>
  <c r="FI58" i="1"/>
  <c r="FI27" i="1"/>
  <c r="FI23" i="1"/>
  <c r="BV39" i="1"/>
  <c r="BY39" i="1" s="1"/>
  <c r="BZ39" i="1" s="1"/>
  <c r="CA39" i="1" s="1"/>
  <c r="FI36" i="1"/>
  <c r="FI11" i="1"/>
  <c r="FI59" i="1"/>
  <c r="FI30" i="1"/>
  <c r="FI63" i="1"/>
  <c r="FI60" i="1"/>
  <c r="FI62" i="1"/>
  <c r="DC104" i="1"/>
  <c r="AG154" i="1"/>
  <c r="U99" i="1"/>
  <c r="DC36" i="1"/>
  <c r="S51" i="1"/>
  <c r="T51" i="1"/>
  <c r="S4" i="1"/>
  <c r="AX51" i="1"/>
  <c r="T4" i="1"/>
  <c r="AX4" i="1"/>
  <c r="DC11" i="1"/>
  <c r="DC27" i="1"/>
  <c r="GZ54" i="1"/>
  <c r="DC41" i="1"/>
  <c r="DC23" i="1"/>
  <c r="DC13" i="1"/>
  <c r="U18" i="1"/>
  <c r="U15" i="1"/>
  <c r="HC25" i="1"/>
  <c r="HC39" i="1"/>
  <c r="FZ162" i="1"/>
  <c r="FZ161" i="1"/>
  <c r="GI154" i="1"/>
  <c r="GI157" i="1"/>
  <c r="P167" i="1"/>
  <c r="P165" i="1"/>
  <c r="P166" i="1"/>
  <c r="P168" i="1"/>
  <c r="GX154" i="1"/>
  <c r="GX157" i="1"/>
  <c r="HI89" i="1"/>
  <c r="HI64" i="1"/>
  <c r="HI12" i="1"/>
  <c r="HI112" i="1"/>
  <c r="HI48" i="1"/>
  <c r="HI43" i="1"/>
  <c r="HI23" i="1"/>
  <c r="HI36" i="1"/>
  <c r="HI45" i="1"/>
  <c r="HI13" i="1"/>
  <c r="HI41" i="1"/>
  <c r="HK41" i="1" s="1"/>
  <c r="HI93" i="1"/>
  <c r="HI145" i="1"/>
  <c r="HI71" i="1"/>
  <c r="HJ71" i="1" s="1"/>
  <c r="HI29" i="1"/>
  <c r="HI28" i="1"/>
  <c r="HI70" i="1"/>
  <c r="HI76" i="1"/>
  <c r="HI91" i="1"/>
  <c r="HI73" i="1"/>
  <c r="HI56" i="1"/>
  <c r="HI113" i="1"/>
  <c r="HI69" i="1"/>
  <c r="HI61" i="1"/>
  <c r="HI27" i="1"/>
  <c r="HI24" i="1"/>
  <c r="HI39" i="1"/>
  <c r="P110" i="1"/>
  <c r="R110" i="1" s="1"/>
  <c r="O110" i="1"/>
  <c r="R108" i="1"/>
  <c r="AE33" i="1"/>
  <c r="Y33" i="1"/>
  <c r="O109" i="1"/>
  <c r="S109" i="1" s="1"/>
  <c r="HD157" i="1"/>
  <c r="HW53" i="1"/>
  <c r="GD85" i="1"/>
  <c r="T113" i="1"/>
  <c r="GY25" i="1"/>
  <c r="HW52" i="1"/>
  <c r="GW97" i="1"/>
  <c r="GT97" i="1"/>
  <c r="GY97" i="1"/>
  <c r="GS97" i="1"/>
  <c r="GY101" i="1"/>
  <c r="GW101" i="1"/>
  <c r="GT101" i="1"/>
  <c r="GG101" i="1"/>
  <c r="GW105" i="1"/>
  <c r="GS105" i="1"/>
  <c r="FY106" i="1"/>
  <c r="GW109" i="1"/>
  <c r="V118" i="1"/>
  <c r="GY118" i="1"/>
  <c r="GT118" i="1"/>
  <c r="GW118" i="1"/>
  <c r="GY110" i="1"/>
  <c r="GS110" i="1"/>
  <c r="GG110" i="1"/>
  <c r="GW110" i="1"/>
  <c r="GT110" i="1"/>
  <c r="GY106" i="1"/>
  <c r="GW106" i="1"/>
  <c r="GG106" i="1"/>
  <c r="GT106" i="1"/>
  <c r="AR25" i="1"/>
  <c r="AU13" i="1"/>
  <c r="AD188" i="1"/>
  <c r="AM98" i="1"/>
  <c r="AT9" i="1"/>
  <c r="V84" i="1"/>
  <c r="R48" i="1"/>
  <c r="AS25" i="1"/>
  <c r="V51" i="1"/>
  <c r="R13" i="1"/>
  <c r="V43" i="1"/>
  <c r="HK108" i="1"/>
  <c r="AT89" i="1"/>
  <c r="T138" i="1"/>
  <c r="T31" i="1"/>
  <c r="W25" i="1"/>
  <c r="R25" i="1"/>
  <c r="AT48" i="1"/>
  <c r="V13" i="1"/>
  <c r="AT25" i="1"/>
  <c r="GS25" i="1"/>
  <c r="W43" i="1"/>
  <c r="V25" i="1"/>
  <c r="AQ25" i="1"/>
  <c r="W51" i="1"/>
  <c r="AS13" i="1"/>
  <c r="AM48" i="1"/>
  <c r="R43" i="1"/>
  <c r="AM3" i="1"/>
  <c r="R7" i="1"/>
  <c r="AM26" i="1"/>
  <c r="GW26" i="1"/>
  <c r="AU47" i="1"/>
  <c r="AM14" i="1"/>
  <c r="HW153" i="1"/>
  <c r="AL107" i="1"/>
  <c r="AM107" i="1"/>
  <c r="HW103" i="1"/>
  <c r="GG115" i="1"/>
  <c r="AM115" i="1"/>
  <c r="AL115" i="1"/>
  <c r="AL124" i="1"/>
  <c r="AM124" i="1"/>
  <c r="HW50" i="1"/>
  <c r="AL101" i="1"/>
  <c r="AM101" i="1"/>
  <c r="HW19" i="1"/>
  <c r="HW17" i="1"/>
  <c r="HW55" i="1"/>
  <c r="Y121" i="1"/>
  <c r="W124" i="1"/>
  <c r="Y124" i="1"/>
  <c r="V124" i="1"/>
  <c r="W18" i="1"/>
  <c r="R113" i="1"/>
  <c r="AL105" i="1"/>
  <c r="R105" i="1"/>
  <c r="V105" i="1"/>
  <c r="Y105" i="1"/>
  <c r="V119" i="1"/>
  <c r="Y119" i="1"/>
  <c r="W119" i="1"/>
  <c r="R119" i="1"/>
  <c r="W88" i="1"/>
  <c r="AM42" i="1"/>
  <c r="AM88" i="1"/>
  <c r="Y120" i="1"/>
  <c r="W120" i="1"/>
  <c r="R120" i="1"/>
  <c r="V120" i="1"/>
  <c r="V44" i="1"/>
  <c r="AS89" i="1"/>
  <c r="W132" i="1"/>
  <c r="R132" i="1"/>
  <c r="V132" i="1"/>
  <c r="Y107" i="1"/>
  <c r="R107" i="1"/>
  <c r="W107" i="1"/>
  <c r="V107" i="1"/>
  <c r="V18" i="1"/>
  <c r="AM18" i="1"/>
  <c r="R44" i="1"/>
  <c r="AS44" i="1"/>
  <c r="V10" i="1"/>
  <c r="AT44" i="1"/>
  <c r="AM8" i="1"/>
  <c r="R4" i="1"/>
  <c r="AQ89" i="1"/>
  <c r="AQ44" i="1"/>
  <c r="V24" i="1"/>
  <c r="GW88" i="1"/>
  <c r="GW4" i="1"/>
  <c r="V42" i="1"/>
  <c r="AU89" i="1"/>
  <c r="W42" i="1"/>
  <c r="W4" i="1"/>
  <c r="GW44" i="1"/>
  <c r="W44" i="1"/>
  <c r="AT24" i="1"/>
  <c r="V4" i="1"/>
  <c r="R88" i="1"/>
  <c r="AR44" i="1"/>
  <c r="AU44" i="1"/>
  <c r="AM4" i="1"/>
  <c r="V36" i="1"/>
  <c r="AM44" i="1"/>
  <c r="V88" i="1"/>
  <c r="V143" i="1"/>
  <c r="V38" i="1"/>
  <c r="Y60" i="1"/>
  <c r="GG80" i="1"/>
  <c r="GS148" i="1"/>
  <c r="AE59" i="1"/>
  <c r="AU49" i="1"/>
  <c r="AU38" i="1"/>
  <c r="AR38" i="1"/>
  <c r="AS22" i="1"/>
  <c r="AM21" i="1"/>
  <c r="AU22" i="1"/>
  <c r="V2" i="1"/>
  <c r="GG113" i="1"/>
  <c r="GK58" i="1"/>
  <c r="V113" i="1"/>
  <c r="AM32" i="1"/>
  <c r="V22" i="1"/>
  <c r="GW17" i="1"/>
  <c r="AM22" i="1"/>
  <c r="AM49" i="1"/>
  <c r="GG11" i="1"/>
  <c r="GW2" i="1"/>
  <c r="GG2" i="1"/>
  <c r="AR73" i="1"/>
  <c r="R2" i="1"/>
  <c r="W21" i="1"/>
  <c r="R22" i="1"/>
  <c r="W22" i="1"/>
  <c r="AR93" i="1"/>
  <c r="AM17" i="1"/>
  <c r="AT49" i="1"/>
  <c r="R49" i="1"/>
  <c r="W2" i="1"/>
  <c r="R21" i="1"/>
  <c r="V21" i="1"/>
  <c r="R114" i="1"/>
  <c r="W113" i="1"/>
  <c r="Y58" i="1"/>
  <c r="AS65" i="1"/>
  <c r="V14" i="1"/>
  <c r="AM41" i="1"/>
  <c r="W65" i="1"/>
  <c r="AM100" i="1"/>
  <c r="Y148" i="1"/>
  <c r="V26" i="1"/>
  <c r="AT47" i="1"/>
  <c r="GS45" i="1"/>
  <c r="AR47" i="1"/>
  <c r="W98" i="1"/>
  <c r="V98" i="1"/>
  <c r="GW45" i="1"/>
  <c r="W41" i="1"/>
  <c r="W26" i="1"/>
  <c r="V28" i="1"/>
  <c r="GG62" i="1"/>
  <c r="GS100" i="1"/>
  <c r="GY152" i="1"/>
  <c r="AE31" i="1"/>
  <c r="W97" i="1"/>
  <c r="GK28" i="1"/>
  <c r="W148" i="1"/>
  <c r="GS112" i="1"/>
  <c r="V112" i="1"/>
  <c r="AT94" i="1"/>
  <c r="W150" i="1"/>
  <c r="GD150" i="1"/>
  <c r="GS95" i="1"/>
  <c r="GG109" i="1"/>
  <c r="GW73" i="1"/>
  <c r="GS73" i="1"/>
  <c r="AT73" i="1"/>
  <c r="W73" i="1"/>
  <c r="AM73" i="1"/>
  <c r="GT30" i="1"/>
  <c r="R30" i="1"/>
  <c r="AS30" i="1"/>
  <c r="V23" i="1"/>
  <c r="AT23" i="1"/>
  <c r="R23" i="1"/>
  <c r="AS23" i="1"/>
  <c r="AR23" i="1"/>
  <c r="GT23" i="1"/>
  <c r="AL16" i="1"/>
  <c r="GW16" i="1"/>
  <c r="AE38" i="1"/>
  <c r="W38" i="1"/>
  <c r="GY38" i="1"/>
  <c r="AQ38" i="1"/>
  <c r="GT38" i="1"/>
  <c r="GY15" i="1"/>
  <c r="AM15" i="1"/>
  <c r="GG90" i="1"/>
  <c r="GT90" i="1"/>
  <c r="AS90" i="1"/>
  <c r="AL137" i="1"/>
  <c r="GW137" i="1"/>
  <c r="Y72" i="1"/>
  <c r="GG72" i="1"/>
  <c r="GG69" i="1"/>
  <c r="W69" i="1"/>
  <c r="GW90" i="1"/>
  <c r="AE73" i="1"/>
  <c r="AS77" i="1"/>
  <c r="AQ34" i="1"/>
  <c r="AM19" i="1"/>
  <c r="R61" i="1"/>
  <c r="W15" i="1"/>
  <c r="AS73" i="1"/>
  <c r="AR16" i="1"/>
  <c r="GS38" i="1"/>
  <c r="AR30" i="1"/>
  <c r="AL120" i="1"/>
  <c r="GS120" i="1"/>
  <c r="AE120" i="1"/>
  <c r="GG58" i="1"/>
  <c r="W57" i="1"/>
  <c r="GG89" i="1"/>
  <c r="AT113" i="1"/>
  <c r="AE58" i="1"/>
  <c r="GT113" i="1"/>
  <c r="GS58" i="1"/>
  <c r="R94" i="1"/>
  <c r="R97" i="1"/>
  <c r="V57" i="1"/>
  <c r="GG18" i="1"/>
  <c r="Y4" i="1"/>
  <c r="AE88" i="1"/>
  <c r="GY113" i="1"/>
  <c r="AE113" i="1"/>
  <c r="GS94" i="1"/>
  <c r="GS150" i="1"/>
  <c r="W32" i="1"/>
  <c r="GG68" i="1"/>
  <c r="AE60" i="1"/>
  <c r="R95" i="1"/>
  <c r="Y126" i="1"/>
  <c r="AL126" i="1"/>
  <c r="GG60" i="1"/>
  <c r="GG17" i="1"/>
  <c r="GG15" i="1"/>
  <c r="GG23" i="1"/>
  <c r="AL30" i="1"/>
  <c r="AR95" i="1"/>
  <c r="AM126" i="1"/>
  <c r="GT16" i="1"/>
  <c r="GG44" i="1"/>
  <c r="GG30" i="1"/>
  <c r="GS44" i="1"/>
  <c r="AM58" i="1"/>
  <c r="Y95" i="1"/>
  <c r="AL95" i="1"/>
  <c r="V126" i="1"/>
  <c r="AE126" i="1"/>
  <c r="GG120" i="1"/>
  <c r="AM105" i="1"/>
  <c r="GS34" i="1"/>
  <c r="AM133" i="1"/>
  <c r="GS133" i="1"/>
  <c r="AL138" i="1"/>
  <c r="GT6" i="1"/>
  <c r="Y134" i="1"/>
  <c r="AE80" i="1"/>
  <c r="GS41" i="1"/>
  <c r="GT2" i="1"/>
  <c r="GT39" i="1"/>
  <c r="AM80" i="1"/>
  <c r="GW98" i="1"/>
  <c r="AE98" i="1"/>
  <c r="GT137" i="1"/>
  <c r="AM151" i="1"/>
  <c r="GT9" i="1"/>
  <c r="GT10" i="1"/>
  <c r="Y98" i="1"/>
  <c r="AE134" i="1"/>
  <c r="Y18" i="1"/>
  <c r="Y88" i="1"/>
  <c r="GS114" i="1"/>
  <c r="GY44" i="1"/>
  <c r="GY98" i="1"/>
  <c r="AL57" i="1"/>
  <c r="GY57" i="1"/>
  <c r="GW113" i="1"/>
  <c r="Y113" i="1"/>
  <c r="AL81" i="1"/>
  <c r="AL133" i="1"/>
  <c r="GS9" i="1"/>
  <c r="Y87" i="1"/>
  <c r="Y6" i="1"/>
  <c r="Y40" i="1"/>
  <c r="GY5" i="1"/>
  <c r="AE21" i="1"/>
  <c r="GT21" i="1"/>
  <c r="AM11" i="1"/>
  <c r="AE11" i="1"/>
  <c r="AL5" i="1"/>
  <c r="AE112" i="1"/>
  <c r="GY112" i="1"/>
  <c r="Y80" i="1"/>
  <c r="V137" i="1"/>
  <c r="Y133" i="1"/>
  <c r="GG133" i="1"/>
  <c r="GC60" i="1"/>
  <c r="AL148" i="1"/>
  <c r="AM148" i="1"/>
  <c r="GY148" i="1"/>
  <c r="V148" i="1"/>
  <c r="AE148" i="1"/>
  <c r="GD148" i="1"/>
  <c r="GW148" i="1"/>
  <c r="R148" i="1"/>
  <c r="BE101" i="1"/>
  <c r="Y101" i="1"/>
  <c r="GD142" i="1"/>
  <c r="R144" i="1"/>
  <c r="R150" i="1"/>
  <c r="V115" i="1"/>
  <c r="GS121" i="1"/>
  <c r="BE121" i="1"/>
  <c r="W95" i="1"/>
  <c r="GW95" i="1"/>
  <c r="AM33" i="1"/>
  <c r="AE97" i="1"/>
  <c r="GS19" i="1"/>
  <c r="GT11" i="1"/>
  <c r="Y11" i="1"/>
  <c r="GY2" i="1"/>
  <c r="GS17" i="1"/>
  <c r="GY77" i="1"/>
  <c r="AE77" i="1"/>
  <c r="GW30" i="1"/>
  <c r="AM30" i="1"/>
  <c r="AL15" i="1"/>
  <c r="GS15" i="1"/>
  <c r="AE15" i="1"/>
  <c r="R133" i="1"/>
  <c r="GT133" i="1"/>
  <c r="AE133" i="1"/>
  <c r="GS48" i="1"/>
  <c r="AL48" i="1"/>
  <c r="GG75" i="1"/>
  <c r="GS75" i="1"/>
  <c r="AE2" i="1"/>
  <c r="Y100" i="1"/>
  <c r="Y2" i="1"/>
  <c r="GK62" i="1"/>
  <c r="AE62" i="1"/>
  <c r="GG28" i="1"/>
  <c r="V133" i="1"/>
  <c r="GY137" i="1"/>
  <c r="AL151" i="1"/>
  <c r="AE151" i="1"/>
  <c r="GW151" i="1"/>
  <c r="R151" i="1"/>
  <c r="GW11" i="1"/>
  <c r="GK11" i="1"/>
  <c r="GY100" i="1"/>
  <c r="GW100" i="1"/>
  <c r="AE100" i="1"/>
  <c r="GY19" i="1"/>
  <c r="GY114" i="1"/>
  <c r="AQ114" i="1"/>
  <c r="GY133" i="1"/>
  <c r="W133" i="1"/>
  <c r="GG137" i="1"/>
  <c r="AE137" i="1"/>
  <c r="R137" i="1"/>
  <c r="GY75" i="1"/>
  <c r="GD139" i="1"/>
  <c r="GW139" i="1"/>
  <c r="R139" i="1"/>
  <c r="GS72" i="1"/>
  <c r="AE72" i="1"/>
  <c r="GT72" i="1"/>
  <c r="GK72" i="1"/>
  <c r="GY69" i="1"/>
  <c r="AM69" i="1"/>
  <c r="Y69" i="1"/>
  <c r="GY74" i="1"/>
  <c r="W152" i="1"/>
  <c r="GW150" i="1"/>
  <c r="AE152" i="1"/>
  <c r="Y138" i="1"/>
  <c r="R32" i="1"/>
  <c r="AL32" i="1"/>
  <c r="BE105" i="1"/>
  <c r="GW120" i="1"/>
  <c r="AM120" i="1"/>
  <c r="W101" i="1"/>
  <c r="FY86" i="1"/>
  <c r="FZ82" i="1"/>
  <c r="EW82" i="1" s="1"/>
  <c r="GG95" i="1"/>
  <c r="Y32" i="1"/>
  <c r="AL33" i="1"/>
  <c r="GG50" i="1"/>
  <c r="AM50" i="1"/>
  <c r="GW29" i="1"/>
  <c r="AL29" i="1"/>
  <c r="GS29" i="1"/>
  <c r="GT76" i="1"/>
  <c r="GS76" i="1"/>
  <c r="AS76" i="1"/>
  <c r="W76" i="1"/>
  <c r="AR76" i="1"/>
  <c r="V76" i="1"/>
  <c r="GS85" i="1"/>
  <c r="GK85" i="1"/>
  <c r="AL85" i="1"/>
  <c r="AE85" i="1"/>
  <c r="Y85" i="1"/>
  <c r="GG85" i="1"/>
  <c r="GY85" i="1"/>
  <c r="AS78" i="1"/>
  <c r="GG78" i="1"/>
  <c r="AL20" i="1"/>
  <c r="GT20" i="1"/>
  <c r="Y20" i="1"/>
  <c r="GY20" i="1"/>
  <c r="AS47" i="1"/>
  <c r="GY47" i="1"/>
  <c r="W47" i="1"/>
  <c r="AQ47" i="1"/>
  <c r="GT47" i="1"/>
  <c r="W14" i="1"/>
  <c r="GS14" i="1"/>
  <c r="GW7" i="1"/>
  <c r="W7" i="1"/>
  <c r="GT7" i="1"/>
  <c r="R3" i="1"/>
  <c r="GW3" i="1"/>
  <c r="GT135" i="1"/>
  <c r="Y135" i="1"/>
  <c r="GD143" i="1"/>
  <c r="GG143" i="1"/>
  <c r="R143" i="1"/>
  <c r="GT141" i="1"/>
  <c r="AL141" i="1"/>
  <c r="AE140" i="1"/>
  <c r="V140" i="1"/>
  <c r="GG47" i="1"/>
  <c r="GY76" i="1"/>
  <c r="AL7" i="1"/>
  <c r="AE83" i="1"/>
  <c r="GK83" i="1"/>
  <c r="Y83" i="1"/>
  <c r="GG83" i="1"/>
  <c r="Y93" i="1"/>
  <c r="GS93" i="1"/>
  <c r="R93" i="1"/>
  <c r="W93" i="1"/>
  <c r="AL65" i="1"/>
  <c r="Y65" i="1"/>
  <c r="AQ65" i="1"/>
  <c r="GT65" i="1"/>
  <c r="AE65" i="1"/>
  <c r="GY65" i="1"/>
  <c r="GG65" i="1"/>
  <c r="AU64" i="1"/>
  <c r="GW64" i="1"/>
  <c r="W64" i="1"/>
  <c r="BE45" i="1"/>
  <c r="AL45" i="1"/>
  <c r="GT45" i="1"/>
  <c r="W45" i="1"/>
  <c r="GY45" i="1"/>
  <c r="AM45" i="1"/>
  <c r="V45" i="1"/>
  <c r="Y45" i="1"/>
  <c r="GG45" i="1"/>
  <c r="AL104" i="1"/>
  <c r="GW104" i="1"/>
  <c r="AE104" i="1"/>
  <c r="Y104" i="1"/>
  <c r="GG104" i="1"/>
  <c r="BE104" i="1"/>
  <c r="GY104" i="1"/>
  <c r="AT51" i="1"/>
  <c r="GY51" i="1"/>
  <c r="GG51" i="1"/>
  <c r="AR51" i="1"/>
  <c r="GW51" i="1"/>
  <c r="AM51" i="1"/>
  <c r="AS51" i="1"/>
  <c r="AE51" i="1"/>
  <c r="Y51" i="1"/>
  <c r="W84" i="1"/>
  <c r="AQ84" i="1"/>
  <c r="AE146" i="1"/>
  <c r="AL146" i="1"/>
  <c r="AM146" i="1"/>
  <c r="GY146" i="1"/>
  <c r="GD146" i="1"/>
  <c r="GW146" i="1"/>
  <c r="V146" i="1"/>
  <c r="GS146" i="1"/>
  <c r="R146" i="1"/>
  <c r="AL42" i="1"/>
  <c r="GW42" i="1"/>
  <c r="Y42" i="1"/>
  <c r="GT134" i="1"/>
  <c r="GS134" i="1"/>
  <c r="AL21" i="1"/>
  <c r="GY21" i="1"/>
  <c r="GG21" i="1"/>
  <c r="GW22" i="1"/>
  <c r="GG22" i="1"/>
  <c r="AM16" i="1"/>
  <c r="W94" i="1"/>
  <c r="GT147" i="1"/>
  <c r="AE147" i="1"/>
  <c r="R147" i="1"/>
  <c r="GS147" i="1"/>
  <c r="R96" i="1"/>
  <c r="GS115" i="1"/>
  <c r="R115" i="1"/>
  <c r="AE115" i="1"/>
  <c r="GS16" i="1"/>
  <c r="GG42" i="1"/>
  <c r="Q16" i="1"/>
  <c r="AE42" i="1"/>
  <c r="AE23" i="1"/>
  <c r="GY16" i="1"/>
  <c r="AE16" i="1"/>
  <c r="GY34" i="1"/>
  <c r="AL34" i="1"/>
  <c r="AE34" i="1"/>
  <c r="GG34" i="1"/>
  <c r="GY9" i="1"/>
  <c r="Y9" i="1"/>
  <c r="GS92" i="1"/>
  <c r="W92" i="1"/>
  <c r="GW86" i="1"/>
  <c r="AL86" i="1"/>
  <c r="GT114" i="1"/>
  <c r="AT114" i="1"/>
  <c r="GT62" i="1"/>
  <c r="AE89" i="1"/>
  <c r="GT89" i="1"/>
  <c r="GG25" i="1"/>
  <c r="AL25" i="1"/>
  <c r="AE25" i="1"/>
  <c r="AE13" i="1"/>
  <c r="GY13" i="1"/>
  <c r="GY26" i="1"/>
  <c r="Y26" i="1"/>
  <c r="BE94" i="1"/>
  <c r="GW94" i="1"/>
  <c r="AE94" i="1"/>
  <c r="GY94" i="1"/>
  <c r="V94" i="1"/>
  <c r="AL94" i="1"/>
  <c r="AM94" i="1"/>
  <c r="Y94" i="1"/>
  <c r="BE79" i="1"/>
  <c r="GS79" i="1"/>
  <c r="AL79" i="1"/>
  <c r="AM79" i="1"/>
  <c r="GW96" i="1"/>
  <c r="AS96" i="1"/>
  <c r="GS96" i="1"/>
  <c r="GS60" i="1"/>
  <c r="GY60" i="1"/>
  <c r="GT68" i="1"/>
  <c r="Y68" i="1"/>
  <c r="FY83" i="1"/>
  <c r="FZ83" i="1"/>
  <c r="GO83" i="1" s="1"/>
  <c r="V114" i="1"/>
  <c r="GG16" i="1"/>
  <c r="GG134" i="1"/>
  <c r="GG26" i="1"/>
  <c r="AS114" i="1"/>
  <c r="P16" i="1"/>
  <c r="Y13" i="1"/>
  <c r="AE22" i="1"/>
  <c r="GY23" i="1"/>
  <c r="GW9" i="1"/>
  <c r="GY22" i="1"/>
  <c r="GS89" i="1"/>
  <c r="GS42" i="1"/>
  <c r="AE28" i="1"/>
  <c r="AL23" i="1"/>
  <c r="AL89" i="1"/>
  <c r="GY86" i="1"/>
  <c r="BE8" i="1"/>
  <c r="GW8" i="1"/>
  <c r="Y8" i="1"/>
  <c r="GT8" i="1"/>
  <c r="GW57" i="1"/>
  <c r="AS57" i="1"/>
  <c r="R118" i="1"/>
  <c r="GK80" i="1"/>
  <c r="GY80" i="1"/>
  <c r="AL90" i="1"/>
  <c r="AE90" i="1"/>
  <c r="GG94" i="1"/>
  <c r="GY79" i="1"/>
  <c r="GY151" i="1"/>
  <c r="GD151" i="1"/>
  <c r="GT151" i="1"/>
  <c r="V151" i="1"/>
  <c r="AL142" i="1"/>
  <c r="GS142" i="1"/>
  <c r="V142" i="1"/>
  <c r="R142" i="1"/>
  <c r="AM142" i="1"/>
  <c r="GT142" i="1"/>
  <c r="GY115" i="1"/>
  <c r="GW67" i="1"/>
  <c r="GY67" i="1"/>
  <c r="AE67" i="1"/>
  <c r="GG67" i="1"/>
  <c r="AM67" i="1"/>
  <c r="AL70" i="1"/>
  <c r="GS70" i="1"/>
  <c r="Y70" i="1"/>
  <c r="GG70" i="1"/>
  <c r="GW70" i="1"/>
  <c r="AM70" i="1"/>
  <c r="GY70" i="1"/>
  <c r="AM53" i="1"/>
  <c r="AL53" i="1"/>
  <c r="GG53" i="1"/>
  <c r="GG31" i="1"/>
  <c r="AL31" i="1"/>
  <c r="AE110" i="1"/>
  <c r="AM109" i="1"/>
  <c r="V139" i="1"/>
  <c r="AL72" i="1"/>
  <c r="GY95" i="1"/>
  <c r="V95" i="1"/>
  <c r="BE95" i="1"/>
  <c r="GT109" i="1"/>
  <c r="AL109" i="1"/>
  <c r="AE109" i="1"/>
  <c r="FZ87" i="1"/>
  <c r="GC87" i="1" s="1"/>
  <c r="FY87" i="1"/>
  <c r="EK130" i="1"/>
  <c r="Y97" i="1"/>
  <c r="V97" i="1"/>
  <c r="AM97" i="1"/>
  <c r="GS49" i="1"/>
  <c r="AL49" i="1"/>
  <c r="GW49" i="1"/>
  <c r="GG49" i="1"/>
  <c r="GY14" i="1"/>
  <c r="GW14" i="1"/>
  <c r="Y3" i="1"/>
  <c r="AL3" i="1"/>
  <c r="GS3" i="1"/>
  <c r="GT3" i="1"/>
  <c r="AE3" i="1"/>
  <c r="AL71" i="1"/>
  <c r="AE71" i="1"/>
  <c r="GT71" i="1"/>
  <c r="AU71" i="1"/>
  <c r="AE91" i="1"/>
  <c r="AL91" i="1"/>
  <c r="Y91" i="1"/>
  <c r="GW91" i="1"/>
  <c r="AM91" i="1"/>
  <c r="GW36" i="1"/>
  <c r="GY36" i="1"/>
  <c r="AL36" i="1"/>
  <c r="GS36" i="1"/>
  <c r="Y36" i="1"/>
  <c r="GG36" i="1"/>
  <c r="AL12" i="1"/>
  <c r="AM12" i="1"/>
  <c r="GY12" i="1"/>
  <c r="GW12" i="1"/>
  <c r="AE12" i="1"/>
  <c r="GG12" i="1"/>
  <c r="AL38" i="1"/>
  <c r="GW38" i="1"/>
  <c r="Y38" i="1"/>
  <c r="GG38" i="1"/>
  <c r="GS63" i="1"/>
  <c r="GW63" i="1"/>
  <c r="AM63" i="1"/>
  <c r="GK63" i="1"/>
  <c r="GY99" i="1"/>
  <c r="GW99" i="1"/>
  <c r="GY84" i="1"/>
  <c r="GG84" i="1"/>
  <c r="R136" i="1"/>
  <c r="BE106" i="1"/>
  <c r="AM106" i="1"/>
  <c r="W106" i="1"/>
  <c r="AL106" i="1"/>
  <c r="Y106" i="1"/>
  <c r="V106" i="1"/>
  <c r="AE106" i="1"/>
  <c r="R106" i="1"/>
  <c r="AT84" i="1"/>
  <c r="AR71" i="1"/>
  <c r="GG3" i="1"/>
  <c r="GS13" i="1"/>
  <c r="GG71" i="1"/>
  <c r="GS10" i="1"/>
  <c r="Q12" i="1"/>
  <c r="V12" i="1" s="1"/>
  <c r="AE36" i="1"/>
  <c r="Y81" i="1"/>
  <c r="Y71" i="1"/>
  <c r="Y22" i="1"/>
  <c r="GY71" i="1"/>
  <c r="GY49" i="1"/>
  <c r="GS99" i="1"/>
  <c r="AM71" i="1"/>
  <c r="GS20" i="1"/>
  <c r="GW20" i="1"/>
  <c r="AE20" i="1"/>
  <c r="GT88" i="1"/>
  <c r="AL88" i="1"/>
  <c r="GY88" i="1"/>
  <c r="GG88" i="1"/>
  <c r="GW87" i="1"/>
  <c r="GS87" i="1"/>
  <c r="GK87" i="1"/>
  <c r="AE87" i="1"/>
  <c r="GK82" i="1"/>
  <c r="GS82" i="1"/>
  <c r="AM82" i="1"/>
  <c r="GY82" i="1"/>
  <c r="AL82" i="1"/>
  <c r="GW82" i="1"/>
  <c r="AE82" i="1"/>
  <c r="AM93" i="1"/>
  <c r="GT93" i="1"/>
  <c r="GG64" i="1"/>
  <c r="AE64" i="1"/>
  <c r="AE102" i="1"/>
  <c r="GS102" i="1"/>
  <c r="V102" i="1"/>
  <c r="GG102" i="1"/>
  <c r="AM102" i="1"/>
  <c r="Y102" i="1"/>
  <c r="GW102" i="1"/>
  <c r="W102" i="1"/>
  <c r="AL102" i="1"/>
  <c r="R102" i="1"/>
  <c r="GT102" i="1"/>
  <c r="GY102" i="1"/>
  <c r="GG63" i="1"/>
  <c r="V71" i="1"/>
  <c r="AT71" i="1"/>
  <c r="GT13" i="1"/>
  <c r="O12" i="1"/>
  <c r="W12" i="1" s="1"/>
  <c r="Y84" i="1"/>
  <c r="Y49" i="1"/>
  <c r="Y63" i="1"/>
  <c r="AE99" i="1"/>
  <c r="Y14" i="1"/>
  <c r="GT77" i="1"/>
  <c r="GS71" i="1"/>
  <c r="GT49" i="1"/>
  <c r="GY3" i="1"/>
  <c r="GT84" i="1"/>
  <c r="AM36" i="1"/>
  <c r="GW13" i="1"/>
  <c r="GT63" i="1"/>
  <c r="GS47" i="1"/>
  <c r="AL47" i="1"/>
  <c r="AE47" i="1"/>
  <c r="AL44" i="1"/>
  <c r="GT44" i="1"/>
  <c r="AE44" i="1"/>
  <c r="GY6" i="1"/>
  <c r="AL6" i="1"/>
  <c r="GG6" i="1"/>
  <c r="AL9" i="1"/>
  <c r="AE9" i="1"/>
  <c r="GK86" i="1"/>
  <c r="GT86" i="1"/>
  <c r="AE114" i="1"/>
  <c r="Y114" i="1"/>
  <c r="AL114" i="1"/>
  <c r="AM114" i="1"/>
  <c r="AR114" i="1"/>
  <c r="GG114" i="1"/>
  <c r="GY62" i="1"/>
  <c r="AL62" i="1"/>
  <c r="GW62" i="1"/>
  <c r="AM62" i="1"/>
  <c r="Y62" i="1"/>
  <c r="AM28" i="1"/>
  <c r="GT28" i="1"/>
  <c r="Y28" i="1"/>
  <c r="AL28" i="1"/>
  <c r="GS28" i="1"/>
  <c r="GK81" i="1"/>
  <c r="BE61" i="1"/>
  <c r="AM61" i="1"/>
  <c r="AL73" i="1"/>
  <c r="Y73" i="1"/>
  <c r="GS30" i="1"/>
  <c r="GY30" i="1"/>
  <c r="GW59" i="1"/>
  <c r="GT59" i="1"/>
  <c r="AM59" i="1"/>
  <c r="GY59" i="1"/>
  <c r="AL59" i="1"/>
  <c r="GK59" i="1"/>
  <c r="Y59" i="1"/>
  <c r="GS59" i="1"/>
  <c r="GY66" i="1"/>
  <c r="GT66" i="1"/>
  <c r="AM66" i="1"/>
  <c r="GK66" i="1"/>
  <c r="GS66" i="1"/>
  <c r="AL66" i="1"/>
  <c r="GG66" i="1"/>
  <c r="AU84" i="1"/>
  <c r="W71" i="1"/>
  <c r="AS71" i="1"/>
  <c r="GT12" i="1"/>
  <c r="GG13" i="1"/>
  <c r="P12" i="1"/>
  <c r="R12" i="1" s="1"/>
  <c r="AE84" i="1"/>
  <c r="Y77" i="1"/>
  <c r="AE49" i="1"/>
  <c r="AE63" i="1"/>
  <c r="AE14" i="1"/>
  <c r="GS77" i="1"/>
  <c r="GT14" i="1"/>
  <c r="GT36" i="1"/>
  <c r="GS84" i="1"/>
  <c r="AL63" i="1"/>
  <c r="GW71" i="1"/>
  <c r="AL13" i="1"/>
  <c r="GY63" i="1"/>
  <c r="GT98" i="1"/>
  <c r="AL98" i="1"/>
  <c r="GS98" i="1"/>
  <c r="GY18" i="1"/>
  <c r="AL18" i="1"/>
  <c r="GS18" i="1"/>
  <c r="GT18" i="1"/>
  <c r="AE18" i="1"/>
  <c r="AL77" i="1"/>
  <c r="GT22" i="1"/>
  <c r="AL22" i="1"/>
  <c r="GS22" i="1"/>
  <c r="AL14" i="1"/>
  <c r="GG4" i="1"/>
  <c r="GY4" i="1"/>
  <c r="AL118" i="1"/>
  <c r="GW25" i="1"/>
  <c r="AM25" i="1"/>
  <c r="Y25" i="1"/>
  <c r="GW43" i="1"/>
  <c r="AL43" i="1"/>
  <c r="GS43" i="1"/>
  <c r="GG43" i="1"/>
  <c r="GW66" i="1"/>
  <c r="GS78" i="1"/>
  <c r="P79" i="1"/>
  <c r="R79" i="1" s="1"/>
  <c r="AL17" i="1"/>
  <c r="GY17" i="1"/>
  <c r="AL2" i="1"/>
  <c r="GS2" i="1"/>
  <c r="GT29" i="1"/>
  <c r="GK29" i="1"/>
  <c r="GT83" i="1"/>
  <c r="GS83" i="1"/>
  <c r="GW75" i="1"/>
  <c r="AT75" i="1"/>
  <c r="AR79" i="1"/>
  <c r="AE79" i="1"/>
  <c r="Q79" i="1"/>
  <c r="U79" i="1" s="1"/>
  <c r="GW79" i="1"/>
  <c r="GT79" i="1"/>
  <c r="GG79" i="1"/>
  <c r="O79" i="1"/>
  <c r="Y79" i="1" s="1"/>
  <c r="AL149" i="1"/>
  <c r="AM149" i="1"/>
  <c r="GT149" i="1"/>
  <c r="AE149" i="1"/>
  <c r="GW149" i="1"/>
  <c r="GD149" i="1"/>
  <c r="R149" i="1"/>
  <c r="W149" i="1"/>
  <c r="GG135" i="1"/>
  <c r="AE135" i="1"/>
  <c r="GW135" i="1"/>
  <c r="W135" i="1"/>
  <c r="AM135" i="1"/>
  <c r="GS135" i="1"/>
  <c r="V135" i="1"/>
  <c r="AL135" i="1"/>
  <c r="GY135" i="1"/>
  <c r="R135" i="1"/>
  <c r="AE143" i="1"/>
  <c r="GW143" i="1"/>
  <c r="Y143" i="1"/>
  <c r="AM143" i="1"/>
  <c r="GT143" i="1"/>
  <c r="AM141" i="1"/>
  <c r="GY141" i="1"/>
  <c r="Y141" i="1"/>
  <c r="AE141" i="1"/>
  <c r="V141" i="1"/>
  <c r="AL140" i="1"/>
  <c r="R140" i="1"/>
  <c r="GT140" i="1"/>
  <c r="GW140" i="1"/>
  <c r="AL78" i="1"/>
  <c r="AE78" i="1"/>
  <c r="P78" i="1"/>
  <c r="R78" i="1" s="1"/>
  <c r="GW78" i="1"/>
  <c r="GW69" i="1"/>
  <c r="AL69" i="1"/>
  <c r="GT69" i="1"/>
  <c r="GS69" i="1"/>
  <c r="Y152" i="1"/>
  <c r="GD144" i="1"/>
  <c r="GS152" i="1"/>
  <c r="GY147" i="1"/>
  <c r="GD147" i="1"/>
  <c r="AM152" i="1"/>
  <c r="AM147" i="1"/>
  <c r="AL147" i="1"/>
  <c r="AL152" i="1"/>
  <c r="W139" i="1"/>
  <c r="GT139" i="1"/>
  <c r="AL139" i="1"/>
  <c r="BE139" i="1"/>
  <c r="GT70" i="1"/>
  <c r="AE70" i="1"/>
  <c r="GS67" i="1"/>
  <c r="GW108" i="1"/>
  <c r="GT108" i="1"/>
  <c r="AM108" i="1"/>
  <c r="GY108" i="1"/>
  <c r="AL108" i="1"/>
  <c r="GG108" i="1"/>
  <c r="V74" i="1"/>
  <c r="AT74" i="1"/>
  <c r="V147" i="1"/>
  <c r="V144" i="1"/>
  <c r="W147" i="1"/>
  <c r="Y147" i="1"/>
  <c r="GW144" i="1"/>
  <c r="AM144" i="1"/>
  <c r="R138" i="1"/>
  <c r="GT138" i="1"/>
  <c r="GY139" i="1"/>
  <c r="AE139" i="1"/>
  <c r="GK67" i="1"/>
  <c r="GK68" i="1"/>
  <c r="AL67" i="1"/>
  <c r="GY68" i="1"/>
  <c r="AM119" i="1"/>
  <c r="FZ81" i="1"/>
  <c r="GO81" i="1" s="1"/>
  <c r="FY81" i="1"/>
  <c r="GG129" i="1"/>
  <c r="GG124" i="1"/>
  <c r="BE124" i="1"/>
  <c r="FZ128" i="1"/>
  <c r="GA128" i="1" s="1"/>
  <c r="FY128" i="1"/>
  <c r="AL46" i="1"/>
  <c r="AM46" i="1"/>
  <c r="AL110" i="1"/>
  <c r="GT120" i="1"/>
  <c r="AE124" i="1"/>
  <c r="GT95" i="1"/>
  <c r="AM95" i="1"/>
  <c r="GG33" i="1"/>
  <c r="BE120" i="1"/>
  <c r="GY120" i="1"/>
  <c r="DC106" i="1"/>
  <c r="EK106" i="1"/>
  <c r="EN106" i="1" s="1"/>
  <c r="EP106" i="1" s="1"/>
  <c r="AE107" i="1"/>
  <c r="BE107" i="1"/>
  <c r="AM37" i="1"/>
  <c r="AT57" i="1"/>
  <c r="AT76" i="1"/>
  <c r="GG92" i="1"/>
  <c r="GS24" i="1"/>
  <c r="GG7" i="1"/>
  <c r="GG57" i="1"/>
  <c r="GG48" i="1"/>
  <c r="GG61" i="1"/>
  <c r="GG76" i="1"/>
  <c r="GT5" i="1"/>
  <c r="GS8" i="1"/>
  <c r="GG10" i="1"/>
  <c r="GG41" i="1"/>
  <c r="R92" i="1"/>
  <c r="GG91" i="1"/>
  <c r="AE61" i="1"/>
  <c r="AE39" i="1"/>
  <c r="AE81" i="1"/>
  <c r="Y10" i="1"/>
  <c r="Y48" i="1"/>
  <c r="Y43" i="1"/>
  <c r="Y5" i="1"/>
  <c r="Y64" i="1"/>
  <c r="AE7" i="1"/>
  <c r="AE26" i="1"/>
  <c r="Y29" i="1"/>
  <c r="Y57" i="1"/>
  <c r="AE41" i="1"/>
  <c r="GW83" i="1"/>
  <c r="GY92" i="1"/>
  <c r="GS64" i="1"/>
  <c r="GY39" i="1"/>
  <c r="GT57" i="1"/>
  <c r="GY48" i="1"/>
  <c r="Y76" i="1"/>
  <c r="GY8" i="1"/>
  <c r="GT92" i="1"/>
  <c r="AE76" i="1"/>
  <c r="AM87" i="1"/>
  <c r="BE7" i="1"/>
  <c r="AM29" i="1"/>
  <c r="AL8" i="1"/>
  <c r="GW93" i="1"/>
  <c r="AL39" i="1"/>
  <c r="AL61" i="1"/>
  <c r="GW85" i="1"/>
  <c r="GT42" i="1"/>
  <c r="GY42" i="1"/>
  <c r="GS21" i="1"/>
  <c r="Y21" i="1"/>
  <c r="GT17" i="1"/>
  <c r="Y17" i="1"/>
  <c r="GW112" i="1"/>
  <c r="AM112" i="1"/>
  <c r="AL112" i="1"/>
  <c r="AM113" i="1"/>
  <c r="AL113" i="1"/>
  <c r="GS113" i="1"/>
  <c r="GW58" i="1"/>
  <c r="GY58" i="1"/>
  <c r="AL58" i="1"/>
  <c r="GW89" i="1"/>
  <c r="AM89" i="1"/>
  <c r="GY89" i="1"/>
  <c r="GW65" i="1"/>
  <c r="AM65" i="1"/>
  <c r="GS65" i="1"/>
  <c r="AM23" i="1"/>
  <c r="GS23" i="1"/>
  <c r="AU51" i="1"/>
  <c r="AL51" i="1"/>
  <c r="GT51" i="1"/>
  <c r="AQ57" i="1"/>
  <c r="AU57" i="1"/>
  <c r="AU76" i="1"/>
  <c r="GT24" i="1"/>
  <c r="GG93" i="1"/>
  <c r="GS5" i="1"/>
  <c r="GG8" i="1"/>
  <c r="GG29" i="1"/>
  <c r="V92" i="1"/>
  <c r="W118" i="1"/>
  <c r="Y24" i="1"/>
  <c r="AE10" i="1"/>
  <c r="AE48" i="1"/>
  <c r="AE43" i="1"/>
  <c r="Y118" i="1"/>
  <c r="AE29" i="1"/>
  <c r="GY93" i="1"/>
  <c r="GT41" i="1"/>
  <c r="GY40" i="1"/>
  <c r="GS39" i="1"/>
  <c r="GY7" i="1"/>
  <c r="GW48" i="1"/>
  <c r="GY61" i="1"/>
  <c r="GY29" i="1"/>
  <c r="GW10" i="1"/>
  <c r="AE93" i="1"/>
  <c r="AM76" i="1"/>
  <c r="AE24" i="1"/>
  <c r="AL93" i="1"/>
  <c r="GW76" i="1"/>
  <c r="AL99" i="1"/>
  <c r="GT99" i="1"/>
  <c r="Y99" i="1"/>
  <c r="AL84" i="1"/>
  <c r="GW84" i="1"/>
  <c r="Y136" i="1"/>
  <c r="AL4" i="1"/>
  <c r="GS4" i="1"/>
  <c r="BE10" i="1"/>
  <c r="GY10" i="1"/>
  <c r="AM92" i="1"/>
  <c r="GW92" i="1"/>
  <c r="AE92" i="1"/>
  <c r="Y92" i="1"/>
  <c r="GG118" i="1"/>
  <c r="AS118" i="1"/>
  <c r="AM118" i="1"/>
  <c r="AE118" i="1"/>
  <c r="AM64" i="1"/>
  <c r="AL64" i="1"/>
  <c r="GT64" i="1"/>
  <c r="AM24" i="1"/>
  <c r="GW24" i="1"/>
  <c r="GY24" i="1"/>
  <c r="AL26" i="1"/>
  <c r="GT26" i="1"/>
  <c r="GY136" i="1"/>
  <c r="GG136" i="1"/>
  <c r="AL136" i="1"/>
  <c r="GW136" i="1"/>
  <c r="AE136" i="1"/>
  <c r="GS136" i="1"/>
  <c r="W136" i="1"/>
  <c r="GT136" i="1"/>
  <c r="GT4" i="1"/>
  <c r="AT118" i="1"/>
  <c r="BE92" i="1"/>
  <c r="AM57" i="1"/>
  <c r="AE57" i="1"/>
  <c r="GS57" i="1"/>
  <c r="GY87" i="1"/>
  <c r="GT87" i="1"/>
  <c r="GT85" i="1"/>
  <c r="AM85" i="1"/>
  <c r="AM83" i="1"/>
  <c r="AL83" i="1"/>
  <c r="GY83" i="1"/>
  <c r="GT81" i="1"/>
  <c r="AM81" i="1"/>
  <c r="GS81" i="1"/>
  <c r="GY81" i="1"/>
  <c r="GW61" i="1"/>
  <c r="Y61" i="1"/>
  <c r="BE43" i="1"/>
  <c r="AM43" i="1"/>
  <c r="GY43" i="1"/>
  <c r="GW41" i="1"/>
  <c r="GY41" i="1"/>
  <c r="Y41" i="1"/>
  <c r="AM136" i="1"/>
  <c r="R75" i="1"/>
  <c r="BE75" i="1"/>
  <c r="AE75" i="1"/>
  <c r="AM75" i="1"/>
  <c r="O75" i="1"/>
  <c r="S75" i="1" s="1"/>
  <c r="AL75" i="1"/>
  <c r="AS75" i="1"/>
  <c r="GT75" i="1"/>
  <c r="V75" i="1"/>
  <c r="GG74" i="1"/>
  <c r="GT74" i="1"/>
  <c r="AL74" i="1"/>
  <c r="AR74" i="1"/>
  <c r="W137" i="1"/>
  <c r="Y137" i="1"/>
  <c r="GS137" i="1"/>
  <c r="GW133" i="1"/>
  <c r="AM137" i="1"/>
  <c r="O78" i="1"/>
  <c r="Y78" i="1" s="1"/>
  <c r="AM78" i="1"/>
  <c r="GY78" i="1"/>
  <c r="BE78" i="1"/>
  <c r="O74" i="1"/>
  <c r="T74" i="1" s="1"/>
  <c r="AM74" i="1"/>
  <c r="BE74" i="1"/>
  <c r="AS74" i="1"/>
  <c r="V150" i="1"/>
  <c r="W146" i="1"/>
  <c r="W144" i="1"/>
  <c r="Y144" i="1"/>
  <c r="Y149" i="1"/>
  <c r="GY149" i="1"/>
  <c r="GT146" i="1"/>
  <c r="GY144" i="1"/>
  <c r="GY150" i="1"/>
  <c r="W143" i="1"/>
  <c r="AL150" i="1"/>
  <c r="AL144" i="1"/>
  <c r="W96" i="1"/>
  <c r="AM96" i="1"/>
  <c r="BE96" i="1"/>
  <c r="AT96" i="1"/>
  <c r="V138" i="1"/>
  <c r="GW138" i="1"/>
  <c r="GD138" i="1"/>
  <c r="AM138" i="1"/>
  <c r="Y139" i="1"/>
  <c r="GS139" i="1"/>
  <c r="W140" i="1"/>
  <c r="Y140" i="1"/>
  <c r="GS140" i="1"/>
  <c r="GS141" i="1"/>
  <c r="GY143" i="1"/>
  <c r="AM140" i="1"/>
  <c r="GG140" i="1"/>
  <c r="AL143" i="1"/>
  <c r="W115" i="1"/>
  <c r="GT115" i="1"/>
  <c r="BE115" i="1"/>
  <c r="AM72" i="1"/>
  <c r="AM60" i="1"/>
  <c r="GW68" i="1"/>
  <c r="GW60" i="1"/>
  <c r="GY72" i="1"/>
  <c r="GW72" i="1"/>
  <c r="V96" i="1"/>
  <c r="Y96" i="1"/>
  <c r="GT96" i="1"/>
  <c r="AE96" i="1"/>
  <c r="AL68" i="1"/>
  <c r="GS68" i="1"/>
  <c r="GK60" i="1"/>
  <c r="Q78" i="1"/>
  <c r="V78" i="1" s="1"/>
  <c r="GT78" i="1"/>
  <c r="AT78" i="1"/>
  <c r="GT94" i="1"/>
  <c r="R74" i="1"/>
  <c r="GS74" i="1"/>
  <c r="GW74" i="1"/>
  <c r="Y150" i="1"/>
  <c r="GT144" i="1"/>
  <c r="GT150" i="1"/>
  <c r="GY96" i="1"/>
  <c r="AR96" i="1"/>
  <c r="W141" i="1"/>
  <c r="R141" i="1"/>
  <c r="GY140" i="1"/>
  <c r="GW141" i="1"/>
  <c r="GD141" i="1"/>
  <c r="GS143" i="1"/>
  <c r="Y115" i="1"/>
  <c r="AM68" i="1"/>
  <c r="W31" i="1"/>
  <c r="AM31" i="1"/>
  <c r="AE108" i="1"/>
  <c r="V32" i="1"/>
  <c r="AM35" i="1"/>
  <c r="AE35" i="1"/>
  <c r="Y31" i="1"/>
  <c r="V110" i="1"/>
  <c r="R31" i="1"/>
  <c r="AM110" i="1"/>
  <c r="FZ80" i="1"/>
  <c r="HE80" i="1" s="1"/>
  <c r="FY80" i="1"/>
  <c r="AE105" i="1"/>
  <c r="FY85" i="1"/>
  <c r="V101" i="1"/>
  <c r="AE101" i="1"/>
  <c r="R101" i="1"/>
  <c r="GS119" i="1"/>
  <c r="GW119" i="1"/>
  <c r="BE119" i="1"/>
  <c r="AL119" i="1"/>
  <c r="AE119" i="1"/>
  <c r="GG132" i="1"/>
  <c r="GG128" i="1"/>
  <c r="GG119" i="1"/>
  <c r="AL52" i="1"/>
  <c r="AM52" i="1"/>
  <c r="GG52" i="1"/>
  <c r="AL97" i="1"/>
  <c r="GY119" i="1"/>
  <c r="GT119" i="1"/>
  <c r="GG130" i="1"/>
  <c r="GG126" i="1"/>
  <c r="GS107" i="1"/>
  <c r="GB107" i="1"/>
  <c r="HJ107" i="1" s="1"/>
  <c r="GY107" i="1"/>
  <c r="GG107" i="1"/>
  <c r="GT107" i="1"/>
  <c r="GW107" i="1"/>
  <c r="GM154" i="1"/>
  <c r="GM157" i="1"/>
  <c r="FI72" i="1"/>
  <c r="FI71" i="1"/>
  <c r="GE154" i="1"/>
  <c r="GE157" i="1"/>
  <c r="BY106" i="1"/>
  <c r="BZ106" i="1" s="1"/>
  <c r="CA106" i="1" s="1"/>
  <c r="BX106" i="1"/>
  <c r="F9" i="37"/>
  <c r="F11" i="37"/>
  <c r="F10" i="37"/>
  <c r="F4" i="37"/>
  <c r="F7" i="37"/>
  <c r="F6" i="37"/>
  <c r="F12" i="37"/>
  <c r="F8" i="37"/>
  <c r="F5" i="37"/>
  <c r="GK132" i="1" l="1"/>
  <c r="FZ132" i="1"/>
  <c r="EW132" i="1" s="1"/>
  <c r="HE85" i="1"/>
  <c r="EC119" i="1"/>
  <c r="FI119" i="1" s="1"/>
  <c r="HK93" i="1"/>
  <c r="GO85" i="1"/>
  <c r="EW85" i="1"/>
  <c r="FY74" i="1"/>
  <c r="GH174" i="1"/>
  <c r="HK36" i="1"/>
  <c r="ED96" i="1"/>
  <c r="FZ145" i="1"/>
  <c r="GC145" i="1" s="1"/>
  <c r="HJ72" i="1"/>
  <c r="HK83" i="1"/>
  <c r="FZ135" i="1"/>
  <c r="GO135" i="1" s="1"/>
  <c r="CA36" i="1"/>
  <c r="HW10" i="1"/>
  <c r="CA29" i="1"/>
  <c r="BZ20" i="1"/>
  <c r="CA20" i="1" s="1"/>
  <c r="AX49" i="1"/>
  <c r="AG157" i="1"/>
  <c r="FZ76" i="1"/>
  <c r="GO76" i="1" s="1"/>
  <c r="T49" i="1"/>
  <c r="EP22" i="1"/>
  <c r="FY129" i="1"/>
  <c r="EC127" i="1"/>
  <c r="FI127" i="1" s="1"/>
  <c r="HJ102" i="1"/>
  <c r="GK129" i="1"/>
  <c r="FY109" i="1"/>
  <c r="EL150" i="1"/>
  <c r="FI150" i="1"/>
  <c r="HG35" i="1"/>
  <c r="HH35" i="1" s="1"/>
  <c r="AD171" i="1"/>
  <c r="EK110" i="1"/>
  <c r="ED115" i="1"/>
  <c r="EE115" i="1"/>
  <c r="EN52" i="1"/>
  <c r="EP52" i="1" s="1"/>
  <c r="EK115" i="1"/>
  <c r="ED143" i="1"/>
  <c r="EC103" i="1"/>
  <c r="EE103" i="1" s="1"/>
  <c r="HJ32" i="1"/>
  <c r="EL96" i="1"/>
  <c r="BY96" i="1" s="1"/>
  <c r="BZ96" i="1" s="1"/>
  <c r="CA96" i="1" s="1"/>
  <c r="EK105" i="1"/>
  <c r="HJ94" i="1"/>
  <c r="HK8" i="1"/>
  <c r="GO72" i="1"/>
  <c r="EK143" i="1"/>
  <c r="EN143" i="1" s="1"/>
  <c r="EP143" i="1" s="1"/>
  <c r="GO109" i="1"/>
  <c r="HK120" i="1"/>
  <c r="GC129" i="1"/>
  <c r="EC147" i="1"/>
  <c r="EI147" i="1" s="1"/>
  <c r="GK147" i="1"/>
  <c r="EK121" i="1"/>
  <c r="HK148" i="1"/>
  <c r="GK109" i="1"/>
  <c r="EK89" i="1"/>
  <c r="EL70" i="1"/>
  <c r="EW129" i="1"/>
  <c r="EW109" i="1"/>
  <c r="EK2" i="1"/>
  <c r="EN2" i="1" s="1"/>
  <c r="EP2" i="1" s="1"/>
  <c r="AM27" i="1"/>
  <c r="EL73" i="1"/>
  <c r="GA129" i="1"/>
  <c r="EC101" i="1"/>
  <c r="ED101" i="1" s="1"/>
  <c r="GC109" i="1"/>
  <c r="GD109" i="1"/>
  <c r="HK82" i="1"/>
  <c r="GA71" i="1"/>
  <c r="EK131" i="1"/>
  <c r="GC124" i="1"/>
  <c r="GK31" i="1"/>
  <c r="GA109" i="1"/>
  <c r="HJ138" i="1"/>
  <c r="GT27" i="1"/>
  <c r="Y54" i="1"/>
  <c r="HJ136" i="1"/>
  <c r="S156" i="1"/>
  <c r="GS164" i="1"/>
  <c r="GS167" i="1"/>
  <c r="EC74" i="1"/>
  <c r="DC74" i="1" s="1"/>
  <c r="FY107" i="1"/>
  <c r="GD124" i="1"/>
  <c r="FY150" i="1"/>
  <c r="W27" i="1"/>
  <c r="FZ33" i="1"/>
  <c r="GO33" i="1" s="1"/>
  <c r="HF71" i="1"/>
  <c r="HG71" i="1" s="1"/>
  <c r="HH71" i="1" s="1"/>
  <c r="FZ107" i="1"/>
  <c r="HF107" i="1" s="1"/>
  <c r="GK124" i="1"/>
  <c r="EW124" i="1"/>
  <c r="HK62" i="1"/>
  <c r="GK33" i="1"/>
  <c r="GD129" i="1"/>
  <c r="HE109" i="1"/>
  <c r="BE54" i="1"/>
  <c r="GW54" i="1"/>
  <c r="FY124" i="1"/>
  <c r="DC89" i="1"/>
  <c r="GA124" i="1"/>
  <c r="FZ31" i="1"/>
  <c r="GO31" i="1" s="1"/>
  <c r="HF109" i="1"/>
  <c r="FZ119" i="1"/>
  <c r="GZ119" i="1" s="1"/>
  <c r="ED22" i="1"/>
  <c r="EW150" i="1"/>
  <c r="HW70" i="1"/>
  <c r="HW73" i="1"/>
  <c r="HW65" i="1"/>
  <c r="HW91" i="1"/>
  <c r="FY101" i="1"/>
  <c r="FZ101" i="1"/>
  <c r="GD101" i="1" s="1"/>
  <c r="HW96" i="1"/>
  <c r="HW56" i="1"/>
  <c r="HW110" i="1"/>
  <c r="GK121" i="1"/>
  <c r="FZ121" i="1"/>
  <c r="GO121" i="1" s="1"/>
  <c r="FY133" i="1"/>
  <c r="FY120" i="1"/>
  <c r="FZ120" i="1"/>
  <c r="GO120" i="1" s="1"/>
  <c r="HK87" i="1"/>
  <c r="HW107" i="1"/>
  <c r="HW122" i="1"/>
  <c r="HW86" i="1"/>
  <c r="HW78" i="1"/>
  <c r="HW79" i="1"/>
  <c r="HW114" i="1"/>
  <c r="BY54" i="1"/>
  <c r="BZ54" i="1" s="1"/>
  <c r="CA54" i="1" s="1"/>
  <c r="HW30" i="1"/>
  <c r="HW71" i="1"/>
  <c r="HW69" i="1"/>
  <c r="HW63" i="1"/>
  <c r="HE150" i="1"/>
  <c r="ED89" i="1"/>
  <c r="FZ94" i="1"/>
  <c r="HF94" i="1" s="1"/>
  <c r="BX20" i="1"/>
  <c r="EK7" i="1"/>
  <c r="EN7" i="1" s="1"/>
  <c r="EP7" i="1" s="1"/>
  <c r="ED13" i="1"/>
  <c r="HJ143" i="1"/>
  <c r="AE27" i="1"/>
  <c r="GG27" i="1"/>
  <c r="FZ106" i="1"/>
  <c r="GD106" i="1" s="1"/>
  <c r="GC85" i="1"/>
  <c r="GZ71" i="1"/>
  <c r="GC150" i="1"/>
  <c r="GK94" i="1"/>
  <c r="GD60" i="1"/>
  <c r="ED28" i="1"/>
  <c r="HJ79" i="1"/>
  <c r="EK56" i="1"/>
  <c r="HK31" i="1"/>
  <c r="FY135" i="1"/>
  <c r="GV27" i="1"/>
  <c r="GV157" i="1" s="1"/>
  <c r="HK95" i="1"/>
  <c r="EW71" i="1"/>
  <c r="HF150" i="1"/>
  <c r="Y16" i="1"/>
  <c r="EK137" i="1"/>
  <c r="FZ147" i="1"/>
  <c r="GZ147" i="1" s="1"/>
  <c r="GK150" i="1"/>
  <c r="FY71" i="1"/>
  <c r="HJ152" i="1"/>
  <c r="BX9" i="1"/>
  <c r="EK16" i="1"/>
  <c r="EN16" i="1" s="1"/>
  <c r="EP16" i="1" s="1"/>
  <c r="EC109" i="1"/>
  <c r="EI109" i="1" s="1"/>
  <c r="ED5" i="1"/>
  <c r="HK140" i="1"/>
  <c r="HJ90" i="1"/>
  <c r="EK25" i="1"/>
  <c r="EN25" i="1" s="1"/>
  <c r="EP25" i="1" s="1"/>
  <c r="EK74" i="1"/>
  <c r="ED4" i="1"/>
  <c r="HJ118" i="1"/>
  <c r="HK121" i="1"/>
  <c r="HJ76" i="1"/>
  <c r="FZ52" i="1"/>
  <c r="GC52" i="1" s="1"/>
  <c r="EC124" i="1"/>
  <c r="EL124" i="1" s="1"/>
  <c r="FY121" i="1"/>
  <c r="HW132" i="1"/>
  <c r="HW85" i="1"/>
  <c r="HW6" i="1"/>
  <c r="BC156" i="1"/>
  <c r="HW129" i="1"/>
  <c r="HW92" i="1"/>
  <c r="HW81" i="1"/>
  <c r="HE71" i="1"/>
  <c r="EK38" i="1"/>
  <c r="EN38" i="1" s="1"/>
  <c r="EP38" i="1" s="1"/>
  <c r="GK71" i="1"/>
  <c r="EK98" i="1"/>
  <c r="EN98" i="1" s="1"/>
  <c r="EP98" i="1" s="1"/>
  <c r="EK99" i="1"/>
  <c r="EN99" i="1" s="1"/>
  <c r="EP99" i="1" s="1"/>
  <c r="GD71" i="1"/>
  <c r="BY89" i="1"/>
  <c r="BZ89" i="1" s="1"/>
  <c r="CA89" i="1" s="1"/>
  <c r="S16" i="1"/>
  <c r="R45" i="1"/>
  <c r="ED19" i="1"/>
  <c r="V41" i="1"/>
  <c r="T41" i="1"/>
  <c r="EP19" i="1"/>
  <c r="GC71" i="1"/>
  <c r="EN72" i="1"/>
  <c r="EP72" i="1" s="1"/>
  <c r="GA150" i="1"/>
  <c r="GZ150" i="1"/>
  <c r="AL27" i="1"/>
  <c r="BX25" i="1"/>
  <c r="T16" i="1"/>
  <c r="BY6" i="1"/>
  <c r="BZ6" i="1" s="1"/>
  <c r="CA6" i="1" s="1"/>
  <c r="ED84" i="1"/>
  <c r="ED21" i="1"/>
  <c r="V27" i="1"/>
  <c r="EC81" i="1"/>
  <c r="EE81" i="1" s="1"/>
  <c r="GK54" i="1"/>
  <c r="HW75" i="1"/>
  <c r="HW48" i="1"/>
  <c r="HW27" i="1"/>
  <c r="EN46" i="1"/>
  <c r="EP46" i="1" s="1"/>
  <c r="HF27" i="1"/>
  <c r="HG27" i="1" s="1"/>
  <c r="HH27" i="1" s="1"/>
  <c r="FZ133" i="1"/>
  <c r="GO133" i="1" s="1"/>
  <c r="EC128" i="1"/>
  <c r="EI128" i="1" s="1"/>
  <c r="BY64" i="1"/>
  <c r="BZ64" i="1" s="1"/>
  <c r="CA64" i="1" s="1"/>
  <c r="FY52" i="1"/>
  <c r="GK108" i="1"/>
  <c r="FY108" i="1"/>
  <c r="EK107" i="1"/>
  <c r="FY79" i="1"/>
  <c r="FZ18" i="1"/>
  <c r="GC18" i="1" s="1"/>
  <c r="GK40" i="1"/>
  <c r="FY21" i="1"/>
  <c r="BX79" i="1"/>
  <c r="GO19" i="1"/>
  <c r="EW19" i="1"/>
  <c r="GC48" i="1"/>
  <c r="GO100" i="1"/>
  <c r="HJ40" i="1"/>
  <c r="BX49" i="1"/>
  <c r="HF48" i="1"/>
  <c r="HG48" i="1" s="1"/>
  <c r="EL113" i="1"/>
  <c r="BY113" i="1" s="1"/>
  <c r="BZ113" i="1" s="1"/>
  <c r="CA113" i="1" s="1"/>
  <c r="GD104" i="1"/>
  <c r="DC95" i="1"/>
  <c r="EC102" i="1"/>
  <c r="DC102" i="1" s="1"/>
  <c r="EI146" i="1"/>
  <c r="EN71" i="1"/>
  <c r="EP71" i="1" s="1"/>
  <c r="HK74" i="1"/>
  <c r="EK150" i="1"/>
  <c r="EI85" i="1"/>
  <c r="GK144" i="1"/>
  <c r="EE80" i="1"/>
  <c r="HJ99" i="1"/>
  <c r="EL85" i="1"/>
  <c r="EK85" i="1"/>
  <c r="EI150" i="1"/>
  <c r="HK149" i="1"/>
  <c r="GC68" i="1"/>
  <c r="HK75" i="1"/>
  <c r="FZ118" i="1"/>
  <c r="GD118" i="1" s="1"/>
  <c r="GK79" i="1"/>
  <c r="ED108" i="1"/>
  <c r="GO59" i="1"/>
  <c r="FI113" i="1"/>
  <c r="HE35" i="1"/>
  <c r="ED146" i="1"/>
  <c r="HF68" i="1"/>
  <c r="HG68" i="1" s="1"/>
  <c r="HH68" i="1" s="1"/>
  <c r="DC108" i="1"/>
  <c r="EC76" i="1"/>
  <c r="ED76" i="1" s="1"/>
  <c r="HJ5" i="1"/>
  <c r="BX44" i="1"/>
  <c r="BX5" i="1"/>
  <c r="ED79" i="1"/>
  <c r="GK102" i="1"/>
  <c r="EL80" i="1"/>
  <c r="GD59" i="1"/>
  <c r="EE108" i="1"/>
  <c r="ED85" i="1"/>
  <c r="EC135" i="1"/>
  <c r="EL135" i="1" s="1"/>
  <c r="EN135" i="1" s="1"/>
  <c r="EP135" i="1" s="1"/>
  <c r="EK80" i="1"/>
  <c r="EW59" i="1"/>
  <c r="EE95" i="1"/>
  <c r="DC113" i="1"/>
  <c r="HK23" i="1"/>
  <c r="HK12" i="1"/>
  <c r="ED113" i="1"/>
  <c r="GO35" i="1"/>
  <c r="FZ102" i="1"/>
  <c r="GZ102" i="1" s="1"/>
  <c r="EN58" i="1"/>
  <c r="EP58" i="1" s="1"/>
  <c r="GK152" i="1"/>
  <c r="FI85" i="1"/>
  <c r="FZ152" i="1"/>
  <c r="HF152" i="1" s="1"/>
  <c r="EI80" i="1"/>
  <c r="ED150" i="1"/>
  <c r="EK79" i="1"/>
  <c r="EN79" i="1" s="1"/>
  <c r="EP79" i="1" s="1"/>
  <c r="HJ139" i="1"/>
  <c r="FI95" i="1"/>
  <c r="HJ10" i="1"/>
  <c r="GO68" i="1"/>
  <c r="GC35" i="1"/>
  <c r="EL146" i="1"/>
  <c r="BX146" i="1" s="1"/>
  <c r="EE150" i="1"/>
  <c r="EE85" i="1"/>
  <c r="HG85" i="1" s="1"/>
  <c r="HH85" i="1" s="1"/>
  <c r="FI80" i="1"/>
  <c r="DC150" i="1"/>
  <c r="ED90" i="1"/>
  <c r="EN62" i="1"/>
  <c r="EP62" i="1" s="1"/>
  <c r="DC80" i="1"/>
  <c r="FZ141" i="1"/>
  <c r="HE141" i="1" s="1"/>
  <c r="HJ14" i="1"/>
  <c r="FI79" i="1"/>
  <c r="HJ20" i="1"/>
  <c r="FI73" i="1"/>
  <c r="EC140" i="1"/>
  <c r="ED140" i="1" s="1"/>
  <c r="HJ18" i="1"/>
  <c r="HF59" i="1"/>
  <c r="HG59" i="1" s="1"/>
  <c r="HH59" i="1" s="1"/>
  <c r="EK95" i="1"/>
  <c r="EN95" i="1" s="1"/>
  <c r="EP95" i="1" s="1"/>
  <c r="BY10" i="1"/>
  <c r="BZ10" i="1" s="1"/>
  <c r="CA10" i="1" s="1"/>
  <c r="HJ35" i="1"/>
  <c r="HK144" i="1"/>
  <c r="HE59" i="1"/>
  <c r="HK66" i="1"/>
  <c r="EI108" i="1"/>
  <c r="FZ144" i="1"/>
  <c r="HE144" i="1" s="1"/>
  <c r="EE79" i="1"/>
  <c r="HW128" i="1"/>
  <c r="HE14" i="1"/>
  <c r="EK146" i="1"/>
  <c r="EE146" i="1"/>
  <c r="DC146" i="1"/>
  <c r="EK43" i="1"/>
  <c r="EN43" i="1" s="1"/>
  <c r="EP43" i="1" s="1"/>
  <c r="EK45" i="1"/>
  <c r="EN45" i="1" s="1"/>
  <c r="EP45" i="1" s="1"/>
  <c r="HE68" i="1"/>
  <c r="FY141" i="1"/>
  <c r="HJ49" i="1"/>
  <c r="EK108" i="1"/>
  <c r="HK58" i="1"/>
  <c r="ED95" i="1"/>
  <c r="EL108" i="1"/>
  <c r="BY108" i="1" s="1"/>
  <c r="BZ108" i="1" s="1"/>
  <c r="CA108" i="1" s="1"/>
  <c r="EK113" i="1"/>
  <c r="DC79" i="1"/>
  <c r="GZ48" i="1"/>
  <c r="GD27" i="1"/>
  <c r="EK47" i="1"/>
  <c r="EN47" i="1" s="1"/>
  <c r="EP47" i="1" s="1"/>
  <c r="EK14" i="1"/>
  <c r="EN14" i="1" s="1"/>
  <c r="EP14" i="1" s="1"/>
  <c r="BX98" i="1"/>
  <c r="DM90" i="1"/>
  <c r="DP90" i="1" s="1"/>
  <c r="DR90" i="1" s="1"/>
  <c r="BY16" i="1"/>
  <c r="BZ16" i="1" s="1"/>
  <c r="CA16" i="1" s="1"/>
  <c r="BX28" i="1"/>
  <c r="FY56" i="1"/>
  <c r="HW12" i="1"/>
  <c r="EN50" i="1"/>
  <c r="EP50" i="1" s="1"/>
  <c r="EN37" i="1"/>
  <c r="EP37" i="1" s="1"/>
  <c r="HE27" i="1"/>
  <c r="GD19" i="1"/>
  <c r="GD45" i="1"/>
  <c r="FY104" i="1"/>
  <c r="BX143" i="1"/>
  <c r="BX95" i="1"/>
  <c r="HF11" i="1"/>
  <c r="HG11" i="1" s="1"/>
  <c r="HH11" i="1" s="1"/>
  <c r="FZ96" i="1"/>
  <c r="GD96" i="1" s="1"/>
  <c r="DC115" i="1"/>
  <c r="EL92" i="1"/>
  <c r="BY92" i="1" s="1"/>
  <c r="BZ92" i="1" s="1"/>
  <c r="CA92" i="1" s="1"/>
  <c r="FI115" i="1"/>
  <c r="GD72" i="1"/>
  <c r="GD48" i="1"/>
  <c r="HE19" i="1"/>
  <c r="EE143" i="1"/>
  <c r="GK130" i="1"/>
  <c r="FY119" i="1"/>
  <c r="ED92" i="1"/>
  <c r="FY96" i="1"/>
  <c r="EL115" i="1"/>
  <c r="EW104" i="1"/>
  <c r="FZ130" i="1"/>
  <c r="EW130" i="1" s="1"/>
  <c r="GK34" i="1"/>
  <c r="GC100" i="1"/>
  <c r="HJ86" i="1"/>
  <c r="DC110" i="1"/>
  <c r="HW145" i="1"/>
  <c r="HW90" i="1"/>
  <c r="HW125" i="1"/>
  <c r="HW51" i="1"/>
  <c r="HW39" i="1"/>
  <c r="HK88" i="1"/>
  <c r="HK115" i="1"/>
  <c r="HW16" i="1"/>
  <c r="GC27" i="1"/>
  <c r="GZ19" i="1"/>
  <c r="EW33" i="1"/>
  <c r="GK100" i="1"/>
  <c r="HF104" i="1"/>
  <c r="HG104" i="1" s="1"/>
  <c r="FY98" i="1"/>
  <c r="GK5" i="1"/>
  <c r="BY40" i="1"/>
  <c r="BZ40" i="1" s="1"/>
  <c r="CA40" i="1" s="1"/>
  <c r="HE51" i="1"/>
  <c r="EW48" i="1"/>
  <c r="GA27" i="1"/>
  <c r="EW27" i="1"/>
  <c r="GC19" i="1"/>
  <c r="GA104" i="1"/>
  <c r="HE104" i="1"/>
  <c r="GZ100" i="1"/>
  <c r="HE100" i="1"/>
  <c r="GK48" i="1"/>
  <c r="GO48" i="1"/>
  <c r="GA19" i="1"/>
  <c r="HE48" i="1"/>
  <c r="GC120" i="1"/>
  <c r="FY100" i="1"/>
  <c r="FZ40" i="1"/>
  <c r="GA40" i="1" s="1"/>
  <c r="FZ30" i="1"/>
  <c r="GA30" i="1" s="1"/>
  <c r="BX18" i="1"/>
  <c r="EW83" i="1"/>
  <c r="FZ16" i="1"/>
  <c r="GO16" i="1" s="1"/>
  <c r="FY9" i="1"/>
  <c r="HW143" i="1"/>
  <c r="HW131" i="1"/>
  <c r="HW118" i="1"/>
  <c r="GC83" i="1"/>
  <c r="GC14" i="1"/>
  <c r="GK45" i="1"/>
  <c r="HW68" i="1"/>
  <c r="HW9" i="1"/>
  <c r="HW72" i="1"/>
  <c r="GC49" i="1"/>
  <c r="GA49" i="1"/>
  <c r="GO14" i="1"/>
  <c r="GO45" i="1"/>
  <c r="EW45" i="1"/>
  <c r="ED39" i="1"/>
  <c r="EK51" i="1"/>
  <c r="EN51" i="1" s="1"/>
  <c r="EP51" i="1" s="1"/>
  <c r="HJ104" i="1"/>
  <c r="BZ99" i="1"/>
  <c r="CA99" i="1" s="1"/>
  <c r="HJ54" i="1"/>
  <c r="HW124" i="1"/>
  <c r="HW83" i="1"/>
  <c r="HW108" i="1"/>
  <c r="HW38" i="1"/>
  <c r="HW148" i="1"/>
  <c r="HW152" i="1"/>
  <c r="HW135" i="1"/>
  <c r="HW23" i="1"/>
  <c r="HW130" i="1"/>
  <c r="HW87" i="1"/>
  <c r="GK84" i="1"/>
  <c r="BY143" i="1"/>
  <c r="BZ143" i="1" s="1"/>
  <c r="CA143" i="1" s="1"/>
  <c r="EN59" i="1"/>
  <c r="EP59" i="1" s="1"/>
  <c r="HW126" i="1"/>
  <c r="HW121" i="1"/>
  <c r="BX134" i="1"/>
  <c r="BY24" i="1"/>
  <c r="BZ24" i="1" s="1"/>
  <c r="CA24" i="1" s="1"/>
  <c r="GD87" i="1"/>
  <c r="HF14" i="1"/>
  <c r="HG14" i="1" s="1"/>
  <c r="GD14" i="1"/>
  <c r="GC45" i="1"/>
  <c r="EK20" i="1"/>
  <c r="EN20" i="1" s="1"/>
  <c r="EP20" i="1" s="1"/>
  <c r="GA42" i="1"/>
  <c r="EW64" i="1"/>
  <c r="EW42" i="1"/>
  <c r="GW145" i="1"/>
  <c r="BX22" i="1"/>
  <c r="R18" i="1"/>
  <c r="HW123" i="1"/>
  <c r="HW120" i="1"/>
  <c r="HW33" i="1"/>
  <c r="FY18" i="1"/>
  <c r="GZ104" i="1"/>
  <c r="GD100" i="1"/>
  <c r="FZ5" i="1"/>
  <c r="GC5" i="1" s="1"/>
  <c r="FY27" i="1"/>
  <c r="GC82" i="1"/>
  <c r="Y12" i="1"/>
  <c r="HW67" i="1"/>
  <c r="HW80" i="1"/>
  <c r="HW64" i="1"/>
  <c r="HW13" i="1"/>
  <c r="HW149" i="1"/>
  <c r="BY150" i="1"/>
  <c r="BZ150" i="1" s="1"/>
  <c r="CA150" i="1" s="1"/>
  <c r="HW100" i="1"/>
  <c r="HW57" i="1"/>
  <c r="HW45" i="1"/>
  <c r="HW42" i="1"/>
  <c r="HW49" i="1"/>
  <c r="HW93" i="1"/>
  <c r="HW147" i="1"/>
  <c r="HW21" i="1"/>
  <c r="GD82" i="1"/>
  <c r="HF82" i="1"/>
  <c r="GD49" i="1"/>
  <c r="V16" i="1"/>
  <c r="GO132" i="1"/>
  <c r="BX99" i="1"/>
  <c r="HW58" i="1"/>
  <c r="GC81" i="1"/>
  <c r="GO128" i="1"/>
  <c r="HF81" i="1"/>
  <c r="FI143" i="1"/>
  <c r="R36" i="1"/>
  <c r="GC101" i="1"/>
  <c r="DC143" i="1"/>
  <c r="FI130" i="1"/>
  <c r="EI143" i="1"/>
  <c r="GA33" i="1"/>
  <c r="GC33" i="1"/>
  <c r="EK97" i="1"/>
  <c r="GK21" i="1"/>
  <c r="V79" i="1"/>
  <c r="EK120" i="1"/>
  <c r="HW102" i="1"/>
  <c r="EW49" i="1"/>
  <c r="GD81" i="1"/>
  <c r="T12" i="1"/>
  <c r="EW108" i="1"/>
  <c r="EE129" i="1"/>
  <c r="FY77" i="1"/>
  <c r="HF42" i="1"/>
  <c r="HG42" i="1" s="1"/>
  <c r="EN68" i="1"/>
  <c r="EP68" i="1" s="1"/>
  <c r="GK56" i="1"/>
  <c r="BY34" i="1"/>
  <c r="BZ34" i="1" s="1"/>
  <c r="CA34" i="1" s="1"/>
  <c r="FY10" i="1"/>
  <c r="BE145" i="1"/>
  <c r="GD42" i="1"/>
  <c r="HW112" i="1"/>
  <c r="GA132" i="1"/>
  <c r="HK146" i="1"/>
  <c r="HW4" i="1"/>
  <c r="U12" i="1"/>
  <c r="BX71" i="1"/>
  <c r="GO110" i="1"/>
  <c r="HJ109" i="1"/>
  <c r="EP104" i="1"/>
  <c r="U78" i="1"/>
  <c r="HF87" i="1"/>
  <c r="GD132" i="1"/>
  <c r="GK30" i="1"/>
  <c r="AW157" i="1"/>
  <c r="FZ39" i="1"/>
  <c r="HF39" i="1" s="1"/>
  <c r="HG39" i="1" s="1"/>
  <c r="HH39" i="1" s="1"/>
  <c r="GS161" i="1"/>
  <c r="BZ15" i="1"/>
  <c r="CA15" i="1" s="1"/>
  <c r="HW3" i="1"/>
  <c r="HW113" i="1"/>
  <c r="HW95" i="1"/>
  <c r="HW34" i="1"/>
  <c r="HW22" i="1"/>
  <c r="HW44" i="1"/>
  <c r="HW2" i="1"/>
  <c r="FZ163" i="1"/>
  <c r="S110" i="1"/>
  <c r="ES157" i="1"/>
  <c r="HJ48" i="1"/>
  <c r="HW77" i="1"/>
  <c r="HW41" i="1"/>
  <c r="HW104" i="1"/>
  <c r="HW32" i="1"/>
  <c r="HW61" i="1"/>
  <c r="HW144" i="1"/>
  <c r="HW54" i="1"/>
  <c r="HW74" i="1"/>
  <c r="HW136" i="1"/>
  <c r="EN31" i="1"/>
  <c r="EP31" i="1" s="1"/>
  <c r="HW133" i="1"/>
  <c r="EW133" i="1"/>
  <c r="EN130" i="1"/>
  <c r="EP130" i="1" s="1"/>
  <c r="HW82" i="1"/>
  <c r="HW84" i="1"/>
  <c r="HW59" i="1"/>
  <c r="HW36" i="1"/>
  <c r="HW99" i="1"/>
  <c r="HW26" i="1"/>
  <c r="HW76" i="1"/>
  <c r="GC76" i="1"/>
  <c r="HC157" i="1"/>
  <c r="EW76" i="1"/>
  <c r="HE17" i="1"/>
  <c r="HE49" i="1"/>
  <c r="GD145" i="1"/>
  <c r="HF83" i="1"/>
  <c r="GO87" i="1"/>
  <c r="HE108" i="1"/>
  <c r="GZ14" i="1"/>
  <c r="U16" i="1"/>
  <c r="EW14" i="1"/>
  <c r="GC132" i="1"/>
  <c r="HF45" i="1"/>
  <c r="HG45" i="1" s="1"/>
  <c r="HH45" i="1" s="1"/>
  <c r="FY16" i="1"/>
  <c r="EK15" i="1"/>
  <c r="EN15" i="1" s="1"/>
  <c r="EP15" i="1" s="1"/>
  <c r="BY26" i="1"/>
  <c r="BZ26" i="1" s="1"/>
  <c r="CA26" i="1" s="1"/>
  <c r="FZ10" i="1"/>
  <c r="GA10" i="1" s="1"/>
  <c r="EC133" i="1"/>
  <c r="EE133" i="1" s="1"/>
  <c r="HE83" i="1"/>
  <c r="T109" i="1"/>
  <c r="FZ25" i="1"/>
  <c r="GZ25" i="1" s="1"/>
  <c r="HJ25" i="1"/>
  <c r="FY75" i="1"/>
  <c r="FY142" i="1"/>
  <c r="EN33" i="1"/>
  <c r="EP33" i="1" s="1"/>
  <c r="EN53" i="1"/>
  <c r="EP53" i="1" s="1"/>
  <c r="GO49" i="1"/>
  <c r="HF49" i="1"/>
  <c r="HG49" i="1" s="1"/>
  <c r="GZ121" i="1"/>
  <c r="HE87" i="1"/>
  <c r="EW87" i="1"/>
  <c r="GC128" i="1"/>
  <c r="EI130" i="1"/>
  <c r="EW128" i="1"/>
  <c r="S79" i="1"/>
  <c r="HF33" i="1"/>
  <c r="HG33" i="1" s="1"/>
  <c r="HH33" i="1" s="1"/>
  <c r="HE120" i="1"/>
  <c r="GA120" i="1"/>
  <c r="GK104" i="1"/>
  <c r="GK17" i="1"/>
  <c r="FY17" i="1"/>
  <c r="FZ34" i="1"/>
  <c r="GO104" i="1"/>
  <c r="BX12" i="1"/>
  <c r="FZ44" i="1"/>
  <c r="GA44" i="1" s="1"/>
  <c r="HF100" i="1"/>
  <c r="HG100" i="1" s="1"/>
  <c r="GK44" i="1"/>
  <c r="BX45" i="1"/>
  <c r="GK27" i="1"/>
  <c r="BX84" i="1"/>
  <c r="BX150" i="1"/>
  <c r="BY95" i="1"/>
  <c r="BZ95" i="1" s="1"/>
  <c r="CA95" i="1" s="1"/>
  <c r="HK57" i="1"/>
  <c r="GK2" i="1"/>
  <c r="FY2" i="1"/>
  <c r="GK13" i="1"/>
  <c r="FY13" i="1"/>
  <c r="FZ13" i="1"/>
  <c r="GZ13" i="1" s="1"/>
  <c r="FY73" i="1"/>
  <c r="GK73" i="1"/>
  <c r="FZ73" i="1"/>
  <c r="GA73" i="1" s="1"/>
  <c r="FY65" i="1"/>
  <c r="GK65" i="1"/>
  <c r="FY89" i="1"/>
  <c r="GK89" i="1"/>
  <c r="BY13" i="1"/>
  <c r="BZ13" i="1" s="1"/>
  <c r="CA13" i="1" s="1"/>
  <c r="BX77" i="1"/>
  <c r="BX13" i="1"/>
  <c r="BY17" i="1"/>
  <c r="BZ17" i="1" s="1"/>
  <c r="CA17" i="1" s="1"/>
  <c r="BX17" i="1"/>
  <c r="EK100" i="1"/>
  <c r="EN100" i="1" s="1"/>
  <c r="EP100" i="1" s="1"/>
  <c r="ED100" i="1"/>
  <c r="U54" i="1"/>
  <c r="T54" i="1"/>
  <c r="FY69" i="1"/>
  <c r="FZ69" i="1"/>
  <c r="GA69" i="1" s="1"/>
  <c r="FY113" i="1"/>
  <c r="FZ113" i="1"/>
  <c r="GC113" i="1" s="1"/>
  <c r="EK152" i="1"/>
  <c r="EC152" i="1"/>
  <c r="FI152" i="1" s="1"/>
  <c r="BX3" i="1"/>
  <c r="BY3" i="1"/>
  <c r="BZ3" i="1" s="1"/>
  <c r="CA3" i="1" s="1"/>
  <c r="GK41" i="1"/>
  <c r="FZ41" i="1"/>
  <c r="HJ92" i="1"/>
  <c r="HK92" i="1"/>
  <c r="HK96" i="1"/>
  <c r="HJ96" i="1"/>
  <c r="EC126" i="1"/>
  <c r="EK126" i="1"/>
  <c r="GC37" i="1"/>
  <c r="GA37" i="1"/>
  <c r="ED10" i="1"/>
  <c r="EK10" i="1"/>
  <c r="EN10" i="1" s="1"/>
  <c r="EP10" i="1" s="1"/>
  <c r="ED88" i="1"/>
  <c r="EK88" i="1"/>
  <c r="EN88" i="1" s="1"/>
  <c r="EP88" i="1" s="1"/>
  <c r="ED134" i="1"/>
  <c r="EK134" i="1"/>
  <c r="EN134" i="1" s="1"/>
  <c r="EP134" i="1" s="1"/>
  <c r="EK41" i="1"/>
  <c r="EN41" i="1" s="1"/>
  <c r="EP41" i="1" s="1"/>
  <c r="ED41" i="1"/>
  <c r="FZ12" i="1"/>
  <c r="EW12" i="1" s="1"/>
  <c r="FY12" i="1"/>
  <c r="BY61" i="1"/>
  <c r="BZ61" i="1" s="1"/>
  <c r="CA61" i="1" s="1"/>
  <c r="BX61" i="1"/>
  <c r="U64" i="1"/>
  <c r="V64" i="1"/>
  <c r="HK4" i="1"/>
  <c r="HJ4" i="1"/>
  <c r="EC94" i="1"/>
  <c r="EK94" i="1"/>
  <c r="EC78" i="1"/>
  <c r="EK78" i="1"/>
  <c r="EK91" i="1"/>
  <c r="EC91" i="1"/>
  <c r="EW67" i="1"/>
  <c r="GO67" i="1"/>
  <c r="GC67" i="1"/>
  <c r="HF67" i="1"/>
  <c r="GO62" i="1"/>
  <c r="GC62" i="1"/>
  <c r="GD62" i="1"/>
  <c r="HE62" i="1"/>
  <c r="HF62" i="1"/>
  <c r="HG62" i="1" s="1"/>
  <c r="HH62" i="1" s="1"/>
  <c r="HF63" i="1"/>
  <c r="HG63" i="1" s="1"/>
  <c r="HH63" i="1" s="1"/>
  <c r="HE63" i="1"/>
  <c r="GC63" i="1"/>
  <c r="EW63" i="1"/>
  <c r="GD63" i="1"/>
  <c r="EI120" i="1"/>
  <c r="ED120" i="1"/>
  <c r="DC120" i="1"/>
  <c r="EL120" i="1"/>
  <c r="EE120" i="1"/>
  <c r="HK150" i="1"/>
  <c r="HK2" i="1"/>
  <c r="W110" i="1"/>
  <c r="FZ32" i="1"/>
  <c r="HF32" i="1" s="1"/>
  <c r="HG32" i="1" s="1"/>
  <c r="BY14" i="1"/>
  <c r="BZ14" i="1" s="1"/>
  <c r="CA14" i="1" s="1"/>
  <c r="HK68" i="1"/>
  <c r="EK23" i="1"/>
  <c r="EN23" i="1" s="1"/>
  <c r="EP23" i="1" s="1"/>
  <c r="HK42" i="1"/>
  <c r="HJ9" i="1"/>
  <c r="BX36" i="1"/>
  <c r="FY149" i="1"/>
  <c r="GK149" i="1"/>
  <c r="HJ63" i="1"/>
  <c r="HK63" i="1"/>
  <c r="HK67" i="1"/>
  <c r="HJ67" i="1"/>
  <c r="Y75" i="1"/>
  <c r="GD17" i="1"/>
  <c r="GK131" i="1"/>
  <c r="EW86" i="1"/>
  <c r="GZ108" i="1"/>
  <c r="GO108" i="1"/>
  <c r="EW110" i="1"/>
  <c r="FZ131" i="1"/>
  <c r="GC131" i="1" s="1"/>
  <c r="EW37" i="1"/>
  <c r="GK127" i="1"/>
  <c r="GK115" i="1"/>
  <c r="EC144" i="1"/>
  <c r="ED144" i="1" s="1"/>
  <c r="BY65" i="1"/>
  <c r="BZ65" i="1" s="1"/>
  <c r="CA65" i="1" s="1"/>
  <c r="ED104" i="1"/>
  <c r="FZ149" i="1"/>
  <c r="GO149" i="1" s="1"/>
  <c r="ED36" i="1"/>
  <c r="HK21" i="1"/>
  <c r="HK47" i="1"/>
  <c r="GO63" i="1"/>
  <c r="EW98" i="1"/>
  <c r="GA98" i="1"/>
  <c r="Y109" i="1"/>
  <c r="W109" i="1"/>
  <c r="T110" i="1"/>
  <c r="Y110" i="1"/>
  <c r="EK44" i="1"/>
  <c r="EN44" i="1" s="1"/>
  <c r="EP44" i="1" s="1"/>
  <c r="ED44" i="1"/>
  <c r="EK18" i="1"/>
  <c r="EN18" i="1" s="1"/>
  <c r="EP18" i="1" s="1"/>
  <c r="ED18" i="1"/>
  <c r="ED145" i="1"/>
  <c r="EK145" i="1"/>
  <c r="EN145" i="1" s="1"/>
  <c r="EP145" i="1" s="1"/>
  <c r="ED3" i="1"/>
  <c r="EK3" i="1"/>
  <c r="EN3" i="1" s="1"/>
  <c r="EP3" i="1" s="1"/>
  <c r="FZ28" i="1"/>
  <c r="FY28" i="1"/>
  <c r="EC149" i="1"/>
  <c r="FI149" i="1" s="1"/>
  <c r="EK149" i="1"/>
  <c r="EC139" i="1"/>
  <c r="DC139" i="1" s="1"/>
  <c r="EK139" i="1"/>
  <c r="EN60" i="1"/>
  <c r="EP60" i="1" s="1"/>
  <c r="BY8" i="1"/>
  <c r="BZ8" i="1" s="1"/>
  <c r="CA8" i="1" s="1"/>
  <c r="BX8" i="1"/>
  <c r="EK11" i="1"/>
  <c r="EN11" i="1" s="1"/>
  <c r="EP11" i="1" s="1"/>
  <c r="ED11" i="1"/>
  <c r="HK141" i="1"/>
  <c r="HJ141" i="1"/>
  <c r="HJ84" i="1"/>
  <c r="HK84" i="1"/>
  <c r="HK34" i="1"/>
  <c r="HJ34" i="1"/>
  <c r="FZ75" i="1"/>
  <c r="GZ75" i="1" s="1"/>
  <c r="GK75" i="1"/>
  <c r="FZ97" i="1"/>
  <c r="GK97" i="1"/>
  <c r="GZ110" i="1"/>
  <c r="GC110" i="1"/>
  <c r="HJ119" i="1"/>
  <c r="HK119" i="1"/>
  <c r="FI129" i="1"/>
  <c r="DC129" i="1"/>
  <c r="FZ50" i="1"/>
  <c r="FY50" i="1"/>
  <c r="FZ46" i="1"/>
  <c r="GA46" i="1" s="1"/>
  <c r="FY46" i="1"/>
  <c r="HF98" i="1"/>
  <c r="HG98" i="1" s="1"/>
  <c r="HF108" i="1"/>
  <c r="HF110" i="1"/>
  <c r="GO17" i="1"/>
  <c r="GC98" i="1"/>
  <c r="GZ17" i="1"/>
  <c r="GA108" i="1"/>
  <c r="GC108" i="1"/>
  <c r="GA110" i="1"/>
  <c r="GD110" i="1"/>
  <c r="FY37" i="1"/>
  <c r="EI129" i="1"/>
  <c r="GD37" i="1"/>
  <c r="FY127" i="1"/>
  <c r="FI120" i="1"/>
  <c r="FZ89" i="1"/>
  <c r="FY25" i="1"/>
  <c r="FY41" i="1"/>
  <c r="EC118" i="1"/>
  <c r="EI118" i="1" s="1"/>
  <c r="FZ56" i="1"/>
  <c r="HK33" i="1"/>
  <c r="HJ51" i="1"/>
  <c r="HE86" i="1"/>
  <c r="BY137" i="1"/>
  <c r="BZ137" i="1" s="1"/>
  <c r="CA137" i="1" s="1"/>
  <c r="AL145" i="1"/>
  <c r="HK61" i="1"/>
  <c r="HJ28" i="1"/>
  <c r="HK48" i="1"/>
  <c r="HJ69" i="1"/>
  <c r="HK112" i="1"/>
  <c r="FZ142" i="1"/>
  <c r="HK25" i="1"/>
  <c r="HJ23" i="1"/>
  <c r="HK73" i="1"/>
  <c r="BZ77" i="1"/>
  <c r="CA77" i="1" s="1"/>
  <c r="FZ92" i="1"/>
  <c r="HK28" i="1"/>
  <c r="BZ22" i="1"/>
  <c r="CA22" i="1" s="1"/>
  <c r="HJ61" i="1"/>
  <c r="FY38" i="1"/>
  <c r="EV157" i="1"/>
  <c r="HK71" i="1"/>
  <c r="HJ41" i="1"/>
  <c r="BX39" i="1"/>
  <c r="FZ22" i="1"/>
  <c r="GO22" i="1" s="1"/>
  <c r="EE137" i="1"/>
  <c r="EW18" i="1"/>
  <c r="S74" i="1"/>
  <c r="DC137" i="1"/>
  <c r="GZ98" i="1"/>
  <c r="T79" i="1"/>
  <c r="GD128" i="1"/>
  <c r="HE98" i="1"/>
  <c r="GK43" i="1"/>
  <c r="HF120" i="1"/>
  <c r="HK91" i="1"/>
  <c r="HJ57" i="1"/>
  <c r="HK76" i="1"/>
  <c r="HJ89" i="1"/>
  <c r="FY76" i="1"/>
  <c r="GK76" i="1"/>
  <c r="ED77" i="1"/>
  <c r="EK77" i="1"/>
  <c r="EN77" i="1" s="1"/>
  <c r="EP77" i="1" s="1"/>
  <c r="ED49" i="1"/>
  <c r="EK49" i="1"/>
  <c r="EN49" i="1" s="1"/>
  <c r="EP49" i="1" s="1"/>
  <c r="ED40" i="1"/>
  <c r="EK40" i="1"/>
  <c r="EN40" i="1" s="1"/>
  <c r="EP40" i="1" s="1"/>
  <c r="ED26" i="1"/>
  <c r="EK26" i="1"/>
  <c r="EN26" i="1" s="1"/>
  <c r="EP26" i="1" s="1"/>
  <c r="ED12" i="1"/>
  <c r="EK12" i="1"/>
  <c r="EN12" i="1" s="1"/>
  <c r="EP12" i="1" s="1"/>
  <c r="ED24" i="1"/>
  <c r="EK24" i="1"/>
  <c r="EN24" i="1" s="1"/>
  <c r="EP24" i="1" s="1"/>
  <c r="S89" i="1"/>
  <c r="R89" i="1"/>
  <c r="S20" i="1"/>
  <c r="R20" i="1"/>
  <c r="U65" i="1"/>
  <c r="T65" i="1"/>
  <c r="V65" i="1"/>
  <c r="FZ57" i="1"/>
  <c r="FY57" i="1"/>
  <c r="FZ151" i="1"/>
  <c r="GO151" i="1" s="1"/>
  <c r="GK151" i="1"/>
  <c r="FY151" i="1"/>
  <c r="FZ148" i="1"/>
  <c r="GC148" i="1" s="1"/>
  <c r="FY148" i="1"/>
  <c r="EC141" i="1"/>
  <c r="EE141" i="1" s="1"/>
  <c r="EK141" i="1"/>
  <c r="ED148" i="1"/>
  <c r="EL148" i="1"/>
  <c r="EI148" i="1"/>
  <c r="FI148" i="1"/>
  <c r="EC87" i="1"/>
  <c r="EK87" i="1"/>
  <c r="DC82" i="1"/>
  <c r="FI82" i="1"/>
  <c r="EI82" i="1"/>
  <c r="EC57" i="1"/>
  <c r="FI57" i="1" s="1"/>
  <c r="EK57" i="1"/>
  <c r="EN63" i="1"/>
  <c r="EP63" i="1" s="1"/>
  <c r="GK95" i="1"/>
  <c r="FZ95" i="1"/>
  <c r="HE95" i="1" s="1"/>
  <c r="FZ8" i="1"/>
  <c r="FY8" i="1"/>
  <c r="GK8" i="1"/>
  <c r="FY20" i="1"/>
  <c r="FZ20" i="1"/>
  <c r="GK20" i="1"/>
  <c r="FY90" i="1"/>
  <c r="FZ90" i="1"/>
  <c r="GA90" i="1" s="1"/>
  <c r="FY26" i="1"/>
  <c r="GK26" i="1"/>
  <c r="HK38" i="1"/>
  <c r="HJ38" i="1"/>
  <c r="FZ99" i="1"/>
  <c r="FY99" i="1"/>
  <c r="BY41" i="1"/>
  <c r="BZ41" i="1" s="1"/>
  <c r="CA41" i="1" s="1"/>
  <c r="BX41" i="1"/>
  <c r="BY100" i="1"/>
  <c r="BZ100" i="1" s="1"/>
  <c r="CA100" i="1" s="1"/>
  <c r="BX100" i="1"/>
  <c r="BY43" i="1"/>
  <c r="BZ43" i="1" s="1"/>
  <c r="CA43" i="1" s="1"/>
  <c r="BX43" i="1"/>
  <c r="GO127" i="1"/>
  <c r="HF76" i="1"/>
  <c r="HE76" i="1"/>
  <c r="GD80" i="1"/>
  <c r="GO145" i="1"/>
  <c r="GA145" i="1"/>
  <c r="DC130" i="1"/>
  <c r="EE130" i="1"/>
  <c r="ED130" i="1"/>
  <c r="ED82" i="1"/>
  <c r="EK9" i="1"/>
  <c r="EN9" i="1" s="1"/>
  <c r="EP9" i="1" s="1"/>
  <c r="FZ26" i="1"/>
  <c r="BX19" i="1"/>
  <c r="FZ7" i="1"/>
  <c r="GA76" i="1"/>
  <c r="EW145" i="1"/>
  <c r="EK148" i="1"/>
  <c r="V136" i="1"/>
  <c r="GK90" i="1"/>
  <c r="FY95" i="1"/>
  <c r="T136" i="1"/>
  <c r="BX64" i="1"/>
  <c r="BX15" i="1"/>
  <c r="EK48" i="1"/>
  <c r="EN48" i="1" s="1"/>
  <c r="EP48" i="1" s="1"/>
  <c r="GK7" i="1"/>
  <c r="FZ134" i="1"/>
  <c r="GK148" i="1"/>
  <c r="FY88" i="1"/>
  <c r="FZ88" i="1"/>
  <c r="GK88" i="1"/>
  <c r="FY15" i="1"/>
  <c r="FZ15" i="1"/>
  <c r="GZ15" i="1" s="1"/>
  <c r="GK15" i="1"/>
  <c r="GK91" i="1"/>
  <c r="FY91" i="1"/>
  <c r="BY38" i="1"/>
  <c r="BZ38" i="1" s="1"/>
  <c r="CA38" i="1" s="1"/>
  <c r="BX38" i="1"/>
  <c r="BY21" i="1"/>
  <c r="BZ21" i="1" s="1"/>
  <c r="CA21" i="1" s="1"/>
  <c r="BX21" i="1"/>
  <c r="FY93" i="1"/>
  <c r="FZ93" i="1"/>
  <c r="EW93" i="1" s="1"/>
  <c r="GC80" i="1"/>
  <c r="GZ145" i="1"/>
  <c r="GO80" i="1"/>
  <c r="HE145" i="1"/>
  <c r="HF145" i="1"/>
  <c r="HG145" i="1" s="1"/>
  <c r="HH145" i="1" s="1"/>
  <c r="EE148" i="1"/>
  <c r="EE82" i="1"/>
  <c r="EK34" i="1"/>
  <c r="EN34" i="1" s="1"/>
  <c r="EP34" i="1" s="1"/>
  <c r="FZ91" i="1"/>
  <c r="EW91" i="1" s="1"/>
  <c r="BX30" i="1"/>
  <c r="ED17" i="1"/>
  <c r="HJ44" i="1"/>
  <c r="HF72" i="1"/>
  <c r="HG72" i="1" s="1"/>
  <c r="HH72" i="1" s="1"/>
  <c r="HJ78" i="1"/>
  <c r="GK50" i="1"/>
  <c r="FI66" i="1"/>
  <c r="GO11" i="1"/>
  <c r="FY97" i="1"/>
  <c r="FY118" i="1"/>
  <c r="FZ115" i="1"/>
  <c r="GZ115" i="1" s="1"/>
  <c r="HJ59" i="1"/>
  <c r="FZ143" i="1"/>
  <c r="HE143" i="1" s="1"/>
  <c r="FY137" i="1"/>
  <c r="HJ26" i="1"/>
  <c r="FY92" i="1"/>
  <c r="HJ151" i="1"/>
  <c r="EK129" i="1"/>
  <c r="EN129" i="1" s="1"/>
  <c r="EP129" i="1" s="1"/>
  <c r="HK133" i="1"/>
  <c r="FY110" i="1"/>
  <c r="HK39" i="1"/>
  <c r="FY114" i="1"/>
  <c r="FZ61" i="1"/>
  <c r="S78" i="1"/>
  <c r="FZ74" i="1"/>
  <c r="HF74" i="1" s="1"/>
  <c r="FY143" i="1"/>
  <c r="FZ137" i="1"/>
  <c r="EW137" i="1" s="1"/>
  <c r="HJ3" i="1"/>
  <c r="GC72" i="1"/>
  <c r="HE72" i="1"/>
  <c r="GD51" i="1"/>
  <c r="FY48" i="1"/>
  <c r="GK37" i="1"/>
  <c r="HJ85" i="1"/>
  <c r="HJ22" i="1"/>
  <c r="EN66" i="1"/>
  <c r="EP66" i="1" s="1"/>
  <c r="EW120" i="1"/>
  <c r="HF58" i="1"/>
  <c r="HG58" i="1" s="1"/>
  <c r="HH58" i="1" s="1"/>
  <c r="ED129" i="1"/>
  <c r="GK110" i="1"/>
  <c r="EI56" i="1"/>
  <c r="EL56" i="1" s="1"/>
  <c r="EN56" i="1" s="1"/>
  <c r="EP56" i="1" s="1"/>
  <c r="ED56" i="1"/>
  <c r="FI56" i="1"/>
  <c r="EE56" i="1"/>
  <c r="DC56" i="1"/>
  <c r="HF77" i="1"/>
  <c r="HG77" i="1" s="1"/>
  <c r="GA77" i="1"/>
  <c r="GC77" i="1"/>
  <c r="HE77" i="1"/>
  <c r="EW77" i="1"/>
  <c r="GD77" i="1"/>
  <c r="GO77" i="1"/>
  <c r="GZ77" i="1"/>
  <c r="EC151" i="1"/>
  <c r="FI151" i="1" s="1"/>
  <c r="EK151" i="1"/>
  <c r="EC142" i="1"/>
  <c r="EK142" i="1"/>
  <c r="EC86" i="1"/>
  <c r="EK86" i="1"/>
  <c r="HK19" i="1"/>
  <c r="HJ19" i="1"/>
  <c r="HJ77" i="1"/>
  <c r="HK77" i="1"/>
  <c r="HJ12" i="1"/>
  <c r="HJ6" i="1"/>
  <c r="HK6" i="1"/>
  <c r="FY78" i="1"/>
  <c r="FZ78" i="1"/>
  <c r="HF78" i="1" s="1"/>
  <c r="EK75" i="1"/>
  <c r="EC114" i="1"/>
  <c r="EK114" i="1"/>
  <c r="EE89" i="1"/>
  <c r="FI89" i="1"/>
  <c r="HE66" i="1"/>
  <c r="EW66" i="1"/>
  <c r="GD66" i="1"/>
  <c r="HF66" i="1"/>
  <c r="HG66" i="1" s="1"/>
  <c r="HH66" i="1" s="1"/>
  <c r="EW60" i="1"/>
  <c r="HF60" i="1"/>
  <c r="HG60" i="1" s="1"/>
  <c r="HH60" i="1" s="1"/>
  <c r="GO60" i="1"/>
  <c r="HK24" i="1"/>
  <c r="HJ24" i="1"/>
  <c r="FZ146" i="1"/>
  <c r="GK146" i="1"/>
  <c r="FY146" i="1"/>
  <c r="FZ139" i="1"/>
  <c r="GK139" i="1"/>
  <c r="FY139" i="1"/>
  <c r="HK81" i="1"/>
  <c r="HJ81" i="1"/>
  <c r="HJ126" i="1"/>
  <c r="HK126" i="1"/>
  <c r="HK135" i="1"/>
  <c r="HJ135" i="1"/>
  <c r="GK105" i="1"/>
  <c r="FZ105" i="1"/>
  <c r="FY136" i="1"/>
  <c r="FZ136" i="1"/>
  <c r="FY140" i="1"/>
  <c r="GK140" i="1"/>
  <c r="FZ140" i="1"/>
  <c r="EC132" i="1"/>
  <c r="EK132" i="1"/>
  <c r="FZ126" i="1"/>
  <c r="FY126" i="1"/>
  <c r="ED117" i="1"/>
  <c r="FY4" i="1"/>
  <c r="GK4" i="1"/>
  <c r="FZ47" i="1"/>
  <c r="EW47" i="1" s="1"/>
  <c r="FY47" i="1"/>
  <c r="FY49" i="1"/>
  <c r="GK49" i="1"/>
  <c r="GZ42" i="1"/>
  <c r="HE42" i="1"/>
  <c r="GS145" i="1"/>
  <c r="W145" i="1"/>
  <c r="Y145" i="1"/>
  <c r="GT145" i="1"/>
  <c r="R145" i="1"/>
  <c r="AE145" i="1"/>
  <c r="FZ23" i="1"/>
  <c r="HE23" i="1" s="1"/>
  <c r="FY23" i="1"/>
  <c r="ED42" i="1"/>
  <c r="EK42" i="1"/>
  <c r="EN42" i="1" s="1"/>
  <c r="EP42" i="1" s="1"/>
  <c r="BX23" i="1"/>
  <c r="BY23" i="1"/>
  <c r="BZ23" i="1" s="1"/>
  <c r="CA23" i="1" s="1"/>
  <c r="T73" i="1"/>
  <c r="U73" i="1"/>
  <c r="GO52" i="1"/>
  <c r="ED121" i="1"/>
  <c r="HF80" i="1"/>
  <c r="EW80" i="1"/>
  <c r="FZ9" i="1"/>
  <c r="GY145" i="1"/>
  <c r="GO116" i="1"/>
  <c r="HE116" i="1"/>
  <c r="HF116" i="1"/>
  <c r="Y74" i="1"/>
  <c r="EL119" i="1"/>
  <c r="EN119" i="1" s="1"/>
  <c r="EP119" i="1" s="1"/>
  <c r="W74" i="1"/>
  <c r="GD98" i="1"/>
  <c r="FI68" i="1"/>
  <c r="GD83" i="1"/>
  <c r="W79" i="1"/>
  <c r="GO42" i="1"/>
  <c r="GZ64" i="1"/>
  <c r="FY45" i="1"/>
  <c r="S12" i="1"/>
  <c r="AM145" i="1"/>
  <c r="GK145" i="1"/>
  <c r="V145" i="1"/>
  <c r="GK3" i="1"/>
  <c r="HJ100" i="1"/>
  <c r="HJ134" i="1"/>
  <c r="BX104" i="1"/>
  <c r="FZ84" i="1"/>
  <c r="GG145" i="1"/>
  <c r="GC66" i="1"/>
  <c r="HK7" i="1"/>
  <c r="BS157" i="1"/>
  <c r="FY61" i="1"/>
  <c r="HJ64" i="1"/>
  <c r="HJ105" i="1"/>
  <c r="FZ65" i="1"/>
  <c r="BX90" i="1"/>
  <c r="BX48" i="1"/>
  <c r="HK89" i="1"/>
  <c r="HK103" i="1"/>
  <c r="T75" i="1"/>
  <c r="HJ36" i="1"/>
  <c r="HK69" i="1"/>
  <c r="G207" i="1"/>
  <c r="H206" i="1" s="1"/>
  <c r="O207" i="1"/>
  <c r="P206" i="1"/>
  <c r="C207" i="1"/>
  <c r="D200" i="1" s="1"/>
  <c r="P205" i="1"/>
  <c r="P202" i="1"/>
  <c r="K207" i="1"/>
  <c r="L201" i="1" s="1"/>
  <c r="HE119" i="1"/>
  <c r="GA119" i="1"/>
  <c r="FI131" i="1"/>
  <c r="EL131" i="1"/>
  <c r="EE131" i="1"/>
  <c r="GC119" i="1"/>
  <c r="GZ45" i="1"/>
  <c r="HE45" i="1"/>
  <c r="EW119" i="1"/>
  <c r="FI121" i="1"/>
  <c r="GO119" i="1"/>
  <c r="EL121" i="1"/>
  <c r="EN121" i="1" s="1"/>
  <c r="EP121" i="1" s="1"/>
  <c r="HF17" i="1"/>
  <c r="HG17" i="1" s="1"/>
  <c r="GC17" i="1"/>
  <c r="GO141" i="1"/>
  <c r="GZ113" i="1"/>
  <c r="GO82" i="1"/>
  <c r="HE82" i="1"/>
  <c r="GH157" i="1"/>
  <c r="BZ19" i="1"/>
  <c r="CA19" i="1" s="1"/>
  <c r="FZ38" i="1"/>
  <c r="GK38" i="1"/>
  <c r="P201" i="1"/>
  <c r="BZ18" i="1"/>
  <c r="CA18" i="1" s="1"/>
  <c r="HJ17" i="1"/>
  <c r="HJ98" i="1"/>
  <c r="GD68" i="1"/>
  <c r="FZ114" i="1"/>
  <c r="HK64" i="1"/>
  <c r="DC96" i="1"/>
  <c r="GK22" i="1"/>
  <c r="GD11" i="1"/>
  <c r="GC58" i="1"/>
  <c r="EE96" i="1"/>
  <c r="FZ2" i="1"/>
  <c r="HE2" i="1" s="1"/>
  <c r="HJ142" i="1"/>
  <c r="HK147" i="1"/>
  <c r="GK114" i="1"/>
  <c r="GD58" i="1"/>
  <c r="GK74" i="1"/>
  <c r="HJ93" i="1"/>
  <c r="EW11" i="1"/>
  <c r="HJ91" i="1"/>
  <c r="HJ145" i="1"/>
  <c r="AX104" i="1"/>
  <c r="W13" i="1"/>
  <c r="AM13" i="1"/>
  <c r="AT13" i="1"/>
  <c r="GT48" i="1"/>
  <c r="W48" i="1"/>
  <c r="V48" i="1"/>
  <c r="AU48" i="1"/>
  <c r="EC112" i="1"/>
  <c r="EK112" i="1"/>
  <c r="HJ60" i="1"/>
  <c r="HE58" i="1"/>
  <c r="EC93" i="1"/>
  <c r="EK92" i="1"/>
  <c r="GC11" i="1"/>
  <c r="EW58" i="1"/>
  <c r="EK96" i="1"/>
  <c r="HJ39" i="1"/>
  <c r="AL60" i="1"/>
  <c r="GT60" i="1"/>
  <c r="GS108" i="1"/>
  <c r="V108" i="1"/>
  <c r="O108" i="1"/>
  <c r="GK101" i="1"/>
  <c r="GK25" i="1"/>
  <c r="FZ79" i="1"/>
  <c r="HE79" i="1" s="1"/>
  <c r="HK114" i="1"/>
  <c r="S107" i="1"/>
  <c r="FY111" i="1"/>
  <c r="BZ27" i="1"/>
  <c r="CA27" i="1" s="1"/>
  <c r="CA48" i="1"/>
  <c r="BZ47" i="1"/>
  <c r="CA47" i="1" s="1"/>
  <c r="BX54" i="1"/>
  <c r="BW157" i="1"/>
  <c r="W114" i="1"/>
  <c r="HC154" i="1"/>
  <c r="FZ29" i="1"/>
  <c r="FZ103" i="1"/>
  <c r="GO103" i="1" s="1"/>
  <c r="EE121" i="1"/>
  <c r="EI121" i="1"/>
  <c r="ED137" i="1"/>
  <c r="GA147" i="1"/>
  <c r="GZ94" i="1"/>
  <c r="HE96" i="1"/>
  <c r="BX88" i="1"/>
  <c r="Y7" i="1"/>
  <c r="GS7" i="1"/>
  <c r="GG14" i="1"/>
  <c r="W20" i="1"/>
  <c r="GG20" i="1"/>
  <c r="GY28" i="1"/>
  <c r="GT100" i="1"/>
  <c r="GG100" i="1"/>
  <c r="GT15" i="1"/>
  <c r="AL80" i="1"/>
  <c r="GT112" i="1"/>
  <c r="GW80" i="1"/>
  <c r="GS80" i="1"/>
  <c r="Y23" i="1"/>
  <c r="AR90" i="1"/>
  <c r="GY90" i="1"/>
  <c r="EK6" i="1"/>
  <c r="EN6" i="1" s="1"/>
  <c r="EP6" i="1" s="1"/>
  <c r="W30" i="1"/>
  <c r="GW15" i="1"/>
  <c r="R38" i="1"/>
  <c r="AM90" i="1"/>
  <c r="AM38" i="1"/>
  <c r="AT38" i="1"/>
  <c r="W23" i="1"/>
  <c r="AT30" i="1"/>
  <c r="R73" i="1"/>
  <c r="R98" i="1"/>
  <c r="V3" i="1"/>
  <c r="BX29" i="1"/>
  <c r="AM20" i="1"/>
  <c r="EN30" i="1"/>
  <c r="EP30" i="1" s="1"/>
  <c r="GB70" i="1"/>
  <c r="HJ70" i="1" s="1"/>
  <c r="GR157" i="1"/>
  <c r="BX27" i="1"/>
  <c r="BX47" i="1"/>
  <c r="T114" i="1"/>
  <c r="S114" i="1"/>
  <c r="AX27" i="1"/>
  <c r="AX157" i="1" s="1"/>
  <c r="T27" i="1"/>
  <c r="S27" i="1"/>
  <c r="AQ74" i="1"/>
  <c r="R109" i="1"/>
  <c r="GS109" i="1"/>
  <c r="V109" i="1"/>
  <c r="GY109" i="1"/>
  <c r="Y27" i="1"/>
  <c r="HJ114" i="1"/>
  <c r="HW20" i="1"/>
  <c r="FY55" i="1"/>
  <c r="AM103" i="1"/>
  <c r="GK98" i="1"/>
  <c r="FZ36" i="1"/>
  <c r="FY70" i="1"/>
  <c r="P203" i="1"/>
  <c r="E207" i="1"/>
  <c r="F204" i="1" s="1"/>
  <c r="P204" i="1"/>
  <c r="I207" i="1"/>
  <c r="J200" i="1" s="1"/>
  <c r="GH154" i="1"/>
  <c r="HK54" i="1"/>
  <c r="HK123" i="1"/>
  <c r="Y103" i="1"/>
  <c r="BZ104" i="1"/>
  <c r="CA104" i="1" s="1"/>
  <c r="FZ112" i="1"/>
  <c r="GC116" i="1"/>
  <c r="FY123" i="1"/>
  <c r="W75" i="1"/>
  <c r="ED119" i="1"/>
  <c r="BY115" i="1"/>
  <c r="BZ115" i="1" s="1"/>
  <c r="CA115" i="1" s="1"/>
  <c r="BX115" i="1"/>
  <c r="EW81" i="1"/>
  <c r="HE81" i="1"/>
  <c r="GC10" i="1"/>
  <c r="GO10" i="1"/>
  <c r="R16" i="1"/>
  <c r="HK13" i="1"/>
  <c r="HJ13" i="1"/>
  <c r="HK43" i="1"/>
  <c r="HJ43" i="1"/>
  <c r="GZ21" i="1"/>
  <c r="EW21" i="1"/>
  <c r="ED27" i="1"/>
  <c r="EK27" i="1"/>
  <c r="EN27" i="1" s="1"/>
  <c r="EP27" i="1" s="1"/>
  <c r="EN64" i="1"/>
  <c r="EP64" i="1" s="1"/>
  <c r="AT134" i="1"/>
  <c r="AL134" i="1"/>
  <c r="AR134" i="1"/>
  <c r="AS134" i="1"/>
  <c r="R134" i="1"/>
  <c r="W134" i="1"/>
  <c r="V134" i="1"/>
  <c r="AM134" i="1"/>
  <c r="AQ134" i="1"/>
  <c r="GY134" i="1"/>
  <c r="AU77" i="1"/>
  <c r="AM77" i="1"/>
  <c r="W77" i="1"/>
  <c r="AT77" i="1"/>
  <c r="AR77" i="1"/>
  <c r="R77" i="1"/>
  <c r="GW77" i="1"/>
  <c r="V77" i="1"/>
  <c r="R34" i="1"/>
  <c r="GW34" i="1"/>
  <c r="AT34" i="1"/>
  <c r="V34" i="1"/>
  <c r="GT34" i="1"/>
  <c r="AS34" i="1"/>
  <c r="AU34" i="1"/>
  <c r="AM34" i="1"/>
  <c r="W34" i="1"/>
  <c r="AR34" i="1"/>
  <c r="Y34" i="1"/>
  <c r="V6" i="1"/>
  <c r="GW6" i="1"/>
  <c r="W6" i="1"/>
  <c r="GG9" i="1"/>
  <c r="BE9" i="1"/>
  <c r="V9" i="1"/>
  <c r="R9" i="1"/>
  <c r="AM9" i="1"/>
  <c r="W9" i="1"/>
  <c r="GG19" i="1"/>
  <c r="AL19" i="1"/>
  <c r="GT19" i="1"/>
  <c r="AM86" i="1"/>
  <c r="Y86" i="1"/>
  <c r="GG86" i="1"/>
  <c r="AE86" i="1"/>
  <c r="W29" i="1"/>
  <c r="V29" i="1"/>
  <c r="Y82" i="1"/>
  <c r="GG82" i="1"/>
  <c r="GT61" i="1"/>
  <c r="V61" i="1"/>
  <c r="GS61" i="1"/>
  <c r="GK61" i="1"/>
  <c r="W61" i="1"/>
  <c r="W91" i="1"/>
  <c r="AR91" i="1"/>
  <c r="R91" i="1"/>
  <c r="AQ91" i="1"/>
  <c r="GY91" i="1"/>
  <c r="AS91" i="1"/>
  <c r="V7" i="1"/>
  <c r="AS36" i="1"/>
  <c r="W36" i="1"/>
  <c r="AU36" i="1"/>
  <c r="AT36" i="1"/>
  <c r="W24" i="1"/>
  <c r="GG24" i="1"/>
  <c r="AS24" i="1"/>
  <c r="R24" i="1"/>
  <c r="GW39" i="1"/>
  <c r="AT39" i="1"/>
  <c r="V39" i="1"/>
  <c r="AQ39" i="1"/>
  <c r="AM39" i="1"/>
  <c r="R39" i="1"/>
  <c r="AU39" i="1"/>
  <c r="GK39" i="1"/>
  <c r="AS39" i="1"/>
  <c r="GG39" i="1"/>
  <c r="V104" i="1"/>
  <c r="GS104" i="1"/>
  <c r="AM104" i="1"/>
  <c r="W104" i="1"/>
  <c r="GG99" i="1"/>
  <c r="AM99" i="1"/>
  <c r="V99" i="1"/>
  <c r="R99" i="1"/>
  <c r="GW40" i="1"/>
  <c r="W40" i="1"/>
  <c r="AM40" i="1"/>
  <c r="AE40" i="1"/>
  <c r="V40" i="1"/>
  <c r="HJ113" i="1"/>
  <c r="HK113" i="1"/>
  <c r="GS149" i="1"/>
  <c r="V149" i="1"/>
  <c r="GT152" i="1"/>
  <c r="V152" i="1"/>
  <c r="R152" i="1"/>
  <c r="GW152" i="1"/>
  <c r="AE144" i="1"/>
  <c r="GS144" i="1"/>
  <c r="GG96" i="1"/>
  <c r="AE142" i="1"/>
  <c r="W142" i="1"/>
  <c r="Y142" i="1"/>
  <c r="GW142" i="1"/>
  <c r="GK142" i="1"/>
  <c r="GG142" i="1"/>
  <c r="GY142" i="1"/>
  <c r="R121" i="1"/>
  <c r="AL121" i="1"/>
  <c r="AM121" i="1"/>
  <c r="AE121" i="1"/>
  <c r="V121" i="1"/>
  <c r="W121" i="1"/>
  <c r="GG121" i="1"/>
  <c r="AM54" i="1"/>
  <c r="R54" i="1"/>
  <c r="AL54" i="1"/>
  <c r="AE54" i="1"/>
  <c r="R70" i="1"/>
  <c r="W70" i="1"/>
  <c r="EC138" i="1"/>
  <c r="EK138" i="1"/>
  <c r="BY4" i="1"/>
  <c r="BZ4" i="1" s="1"/>
  <c r="CA4" i="1" s="1"/>
  <c r="BX4" i="1"/>
  <c r="BX7" i="1"/>
  <c r="BY7" i="1"/>
  <c r="BZ7" i="1" s="1"/>
  <c r="CA7" i="1" s="1"/>
  <c r="BX2" i="1"/>
  <c r="BY2" i="1"/>
  <c r="BZ2" i="1" s="1"/>
  <c r="CA2" i="1" s="1"/>
  <c r="T126" i="1"/>
  <c r="S126" i="1"/>
  <c r="W126" i="1"/>
  <c r="FZ138" i="1"/>
  <c r="FY138" i="1"/>
  <c r="HF21" i="1"/>
  <c r="HG21" i="1" s="1"/>
  <c r="Y67" i="1"/>
  <c r="GT54" i="1"/>
  <c r="GT40" i="1"/>
  <c r="AE138" i="1"/>
  <c r="Y39" i="1"/>
  <c r="GT121" i="1"/>
  <c r="GW121" i="1"/>
  <c r="GT82" i="1"/>
  <c r="GK6" i="1"/>
  <c r="GG77" i="1"/>
  <c r="EK8" i="1"/>
  <c r="EN8" i="1" s="1"/>
  <c r="EP8" i="1" s="1"/>
  <c r="GS54" i="1"/>
  <c r="AR39" i="1"/>
  <c r="V91" i="1"/>
  <c r="AS9" i="1"/>
  <c r="T135" i="1"/>
  <c r="FY39" i="1"/>
  <c r="R76" i="1"/>
  <c r="R29" i="1"/>
  <c r="GO21" i="1"/>
  <c r="GY138" i="1"/>
  <c r="GD152" i="1"/>
  <c r="AE19" i="1"/>
  <c r="Y19" i="1"/>
  <c r="GW19" i="1"/>
  <c r="GC21" i="1"/>
  <c r="GT67" i="1"/>
  <c r="W138" i="1"/>
  <c r="AL40" i="1"/>
  <c r="GG40" i="1"/>
  <c r="GW134" i="1"/>
  <c r="GS40" i="1"/>
  <c r="AE6" i="1"/>
  <c r="GD86" i="1"/>
  <c r="GS6" i="1"/>
  <c r="AU134" i="1"/>
  <c r="GY121" i="1"/>
  <c r="EK82" i="1"/>
  <c r="EN82" i="1" s="1"/>
  <c r="EP82" i="1" s="1"/>
  <c r="GT104" i="1"/>
  <c r="R40" i="1"/>
  <c r="W39" i="1"/>
  <c r="GB29" i="1"/>
  <c r="HK29" i="1" s="1"/>
  <c r="GR154" i="1"/>
  <c r="GK77" i="1"/>
  <c r="GK99" i="1"/>
  <c r="GK24" i="1"/>
  <c r="FY125" i="1"/>
  <c r="FZ125" i="1"/>
  <c r="GO125" i="1" s="1"/>
  <c r="GK125" i="1"/>
  <c r="GK19" i="1"/>
  <c r="AL125" i="1"/>
  <c r="R125" i="1"/>
  <c r="BE125" i="1"/>
  <c r="FY145" i="1"/>
  <c r="W103" i="1"/>
  <c r="FY116" i="1"/>
  <c r="GZ116" i="1"/>
  <c r="GW103" i="1"/>
  <c r="GT103" i="1"/>
  <c r="GS103" i="1"/>
  <c r="CA25" i="1"/>
  <c r="HK106" i="1"/>
  <c r="HK55" i="1"/>
  <c r="GO107" i="1"/>
  <c r="BZ88" i="1"/>
  <c r="CA88" i="1" s="1"/>
  <c r="FZ24" i="1"/>
  <c r="HJ45" i="1"/>
  <c r="BZ51" i="1"/>
  <c r="CA51" i="1" s="1"/>
  <c r="BZ42" i="1"/>
  <c r="CA42" i="1" s="1"/>
  <c r="BZ134" i="1"/>
  <c r="CA134" i="1" s="1"/>
  <c r="P200" i="1"/>
  <c r="EP90" i="1"/>
  <c r="S104" i="1"/>
  <c r="BZ90" i="1"/>
  <c r="CA90" i="1" s="1"/>
  <c r="HK117" i="1"/>
  <c r="HJ117" i="1"/>
  <c r="EP17" i="1"/>
  <c r="ET157" i="1"/>
  <c r="GG37" i="1"/>
  <c r="AL37" i="1"/>
  <c r="EP21" i="1"/>
  <c r="BC92" i="1"/>
  <c r="BD92" i="1"/>
  <c r="GY123" i="1"/>
  <c r="GG123" i="1"/>
  <c r="W55" i="1"/>
  <c r="R122" i="1"/>
  <c r="W122" i="1"/>
  <c r="M207" i="1"/>
  <c r="GY55" i="1"/>
  <c r="GW55" i="1"/>
  <c r="GC111" i="1"/>
  <c r="GA111" i="1"/>
  <c r="GO111" i="1"/>
  <c r="HJ101" i="1"/>
  <c r="HK110" i="1"/>
  <c r="HK45" i="1"/>
  <c r="HK145" i="1"/>
  <c r="HJ112" i="1"/>
  <c r="HJ73" i="1"/>
  <c r="EN137" i="1"/>
  <c r="EP137" i="1" s="1"/>
  <c r="BX137" i="1"/>
  <c r="GD119" i="1"/>
  <c r="HF119" i="1"/>
  <c r="EI131" i="1"/>
  <c r="ED131" i="1"/>
  <c r="GD76" i="1"/>
  <c r="GZ76" i="1"/>
  <c r="BY71" i="1"/>
  <c r="HK107" i="1"/>
  <c r="ED102" i="1"/>
  <c r="EI119" i="1"/>
  <c r="DC119" i="1"/>
  <c r="FI137" i="1"/>
  <c r="EI137" i="1"/>
  <c r="W78" i="1"/>
  <c r="T78" i="1"/>
  <c r="EN89" i="1"/>
  <c r="EP89" i="1" s="1"/>
  <c r="BX89" i="1"/>
  <c r="GC94" i="1"/>
  <c r="EW94" i="1"/>
  <c r="EW40" i="1"/>
  <c r="EP13" i="1"/>
  <c r="BX145" i="1"/>
  <c r="HF51" i="1"/>
  <c r="HG51" i="1" s="1"/>
  <c r="GA51" i="1"/>
  <c r="FY19" i="1"/>
  <c r="FZ43" i="1"/>
  <c r="GA21" i="1"/>
  <c r="AL11" i="1"/>
  <c r="GO51" i="1"/>
  <c r="HF64" i="1"/>
  <c r="HG64" i="1" s="1"/>
  <c r="HH64" i="1" s="1"/>
  <c r="R69" i="1"/>
  <c r="GA64" i="1"/>
  <c r="GD64" i="1"/>
  <c r="GW5" i="1"/>
  <c r="FZ3" i="1"/>
  <c r="GZ3" i="1" s="1"/>
  <c r="FZ6" i="1"/>
  <c r="FY14" i="1"/>
  <c r="GK14" i="1"/>
  <c r="W49" i="1"/>
  <c r="AS49" i="1"/>
  <c r="V49" i="1"/>
  <c r="Y112" i="1"/>
  <c r="W112" i="1"/>
  <c r="AE150" i="1"/>
  <c r="AM150" i="1"/>
  <c r="HJ11" i="1"/>
  <c r="HK11" i="1"/>
  <c r="HK15" i="1"/>
  <c r="HJ15" i="1"/>
  <c r="GK51" i="1"/>
  <c r="EC83" i="1"/>
  <c r="EK83" i="1"/>
  <c r="GO86" i="1"/>
  <c r="HF86" i="1"/>
  <c r="R126" i="1"/>
  <c r="BE126" i="1"/>
  <c r="GZ49" i="1"/>
  <c r="EN124" i="1"/>
  <c r="EP124" i="1" s="1"/>
  <c r="FZ70" i="1"/>
  <c r="GZ51" i="1"/>
  <c r="BX51" i="1"/>
  <c r="GS11" i="1"/>
  <c r="GG5" i="1"/>
  <c r="GD21" i="1"/>
  <c r="GC51" i="1"/>
  <c r="FY51" i="1"/>
  <c r="GK64" i="1"/>
  <c r="AE69" i="1"/>
  <c r="R90" i="1"/>
  <c r="AM5" i="1"/>
  <c r="FY112" i="1"/>
  <c r="AL96" i="1"/>
  <c r="R84" i="1"/>
  <c r="AM6" i="1"/>
  <c r="R6" i="1"/>
  <c r="AE66" i="1"/>
  <c r="Y66" i="1"/>
  <c r="AL10" i="1"/>
  <c r="W10" i="1"/>
  <c r="AM10" i="1"/>
  <c r="R10" i="1"/>
  <c r="Y89" i="1"/>
  <c r="AR89" i="1"/>
  <c r="W89" i="1"/>
  <c r="V89" i="1"/>
  <c r="AL41" i="1"/>
  <c r="R41" i="1"/>
  <c r="GS26" i="1"/>
  <c r="R26" i="1"/>
  <c r="W54" i="1"/>
  <c r="V54" i="1"/>
  <c r="GG54" i="1"/>
  <c r="GT105" i="1"/>
  <c r="GG105" i="1"/>
  <c r="W105" i="1"/>
  <c r="AE74" i="1"/>
  <c r="Y125" i="1"/>
  <c r="EC125" i="1"/>
  <c r="ED125" i="1" s="1"/>
  <c r="HK116" i="1"/>
  <c r="Y123" i="1"/>
  <c r="EK117" i="1"/>
  <c r="GS173" i="1"/>
  <c r="W99" i="1"/>
  <c r="FZ54" i="1"/>
  <c r="GA54" i="1" s="1"/>
  <c r="AL123" i="1"/>
  <c r="GT111" i="1"/>
  <c r="BY79" i="1"/>
  <c r="BZ79" i="1" s="1"/>
  <c r="CA79" i="1" s="1"/>
  <c r="V125" i="1"/>
  <c r="AM123" i="1"/>
  <c r="GW111" i="1"/>
  <c r="FI110" i="1"/>
  <c r="HE111" i="1"/>
  <c r="EF81" i="1"/>
  <c r="EF115" i="1"/>
  <c r="FB115" i="1"/>
  <c r="FB105" i="1"/>
  <c r="FB124" i="1"/>
  <c r="EF86" i="1"/>
  <c r="EF124" i="1"/>
  <c r="FB66" i="1"/>
  <c r="EF74" i="1"/>
  <c r="DI81" i="1"/>
  <c r="DI120" i="1"/>
  <c r="FB86" i="1"/>
  <c r="FB95" i="1"/>
  <c r="EF126" i="1"/>
  <c r="FB102" i="1"/>
  <c r="FB91" i="1"/>
  <c r="EF108" i="1"/>
  <c r="EF129" i="1"/>
  <c r="DI126" i="1"/>
  <c r="DI108" i="1"/>
  <c r="DI129" i="1"/>
  <c r="FB125" i="1"/>
  <c r="DI109" i="1"/>
  <c r="EF92" i="1"/>
  <c r="EF91" i="1"/>
  <c r="DI79" i="1"/>
  <c r="FB60" i="1"/>
  <c r="FB79" i="1"/>
  <c r="EF94" i="1"/>
  <c r="FB109" i="1"/>
  <c r="DI96" i="1"/>
  <c r="FB68" i="1"/>
  <c r="DI80" i="1"/>
  <c r="FB70" i="1"/>
  <c r="DI92" i="1"/>
  <c r="EF56" i="1"/>
  <c r="DI94" i="1"/>
  <c r="DI130" i="1"/>
  <c r="EF96" i="1"/>
  <c r="FB80" i="1"/>
  <c r="DI56" i="1"/>
  <c r="DI54" i="1"/>
  <c r="EF143" i="1"/>
  <c r="EF150" i="1"/>
  <c r="DI87" i="1"/>
  <c r="EF138" i="1"/>
  <c r="DI150" i="1"/>
  <c r="DI143" i="1"/>
  <c r="DI138" i="1"/>
  <c r="EF135" i="1"/>
  <c r="EF141" i="1"/>
  <c r="DI135" i="1"/>
  <c r="EF87" i="1"/>
  <c r="FB119" i="1"/>
  <c r="FB147" i="1"/>
  <c r="EF119" i="1"/>
  <c r="FB152" i="1"/>
  <c r="DI114" i="1"/>
  <c r="FB127" i="1"/>
  <c r="FB93" i="1"/>
  <c r="FB107" i="1"/>
  <c r="FB110" i="1"/>
  <c r="FB130" i="1"/>
  <c r="FB114" i="1"/>
  <c r="FB97" i="1"/>
  <c r="EF107" i="1"/>
  <c r="DI55" i="1"/>
  <c r="EF142" i="1"/>
  <c r="FB89" i="1"/>
  <c r="EF136" i="1"/>
  <c r="EF97" i="1"/>
  <c r="EF147" i="1"/>
  <c r="EF137" i="1"/>
  <c r="EF82" i="1"/>
  <c r="FB142" i="1"/>
  <c r="FB63" i="1"/>
  <c r="EF146" i="1"/>
  <c r="EF120" i="1"/>
  <c r="DI82" i="1"/>
  <c r="FB146" i="1"/>
  <c r="FB54" i="1"/>
  <c r="EF125" i="1"/>
  <c r="DI111" i="1"/>
  <c r="EF152" i="1"/>
  <c r="EF127" i="1"/>
  <c r="DI137" i="1"/>
  <c r="FY42" i="1"/>
  <c r="GK42" i="1"/>
  <c r="GW47" i="1"/>
  <c r="R47" i="1"/>
  <c r="GW116" i="1"/>
  <c r="AM116" i="1"/>
  <c r="GD116" i="1"/>
  <c r="GY116" i="1"/>
  <c r="Y116" i="1"/>
  <c r="AL116" i="1"/>
  <c r="GK116" i="1"/>
  <c r="GT116" i="1"/>
  <c r="BE116" i="1"/>
  <c r="R116" i="1"/>
  <c r="GG116" i="1"/>
  <c r="AE116" i="1"/>
  <c r="EE105" i="1"/>
  <c r="EL105" i="1"/>
  <c r="DC105" i="1"/>
  <c r="EW127" i="1"/>
  <c r="EE119" i="1"/>
  <c r="HE152" i="1"/>
  <c r="FY54" i="1"/>
  <c r="GS12" i="1"/>
  <c r="AD156" i="1"/>
  <c r="V116" i="1"/>
  <c r="ED124" i="1"/>
  <c r="GD127" i="1"/>
  <c r="EN115" i="1"/>
  <c r="EP115" i="1" s="1"/>
  <c r="EE101" i="1"/>
  <c r="FY36" i="1"/>
  <c r="GW81" i="1"/>
  <c r="GG87" i="1"/>
  <c r="Y151" i="1"/>
  <c r="Y30" i="1"/>
  <c r="V73" i="1"/>
  <c r="Y90" i="1"/>
  <c r="W90" i="1"/>
  <c r="GS90" i="1"/>
  <c r="AQ30" i="1"/>
  <c r="AE30" i="1"/>
  <c r="GY73" i="1"/>
  <c r="GG73" i="1"/>
  <c r="FZ4" i="1"/>
  <c r="R112" i="1"/>
  <c r="AT64" i="1"/>
  <c r="V47" i="1"/>
  <c r="AM47" i="1"/>
  <c r="V70" i="1"/>
  <c r="GS91" i="1"/>
  <c r="GT91" i="1"/>
  <c r="AT91" i="1"/>
  <c r="AL24" i="1"/>
  <c r="AR24" i="1"/>
  <c r="FB11" i="1"/>
  <c r="W116" i="1"/>
  <c r="GW28" i="1"/>
  <c r="R28" i="1"/>
  <c r="AS94" i="1"/>
  <c r="EC136" i="1"/>
  <c r="EK136" i="1"/>
  <c r="EE92" i="1"/>
  <c r="FI92" i="1"/>
  <c r="HJ80" i="1"/>
  <c r="HK80" i="1"/>
  <c r="GK117" i="1"/>
  <c r="GZ123" i="1"/>
  <c r="HF123" i="1"/>
  <c r="ED111" i="1"/>
  <c r="EI111" i="1"/>
  <c r="EL55" i="1"/>
  <c r="BY55" i="1" s="1"/>
  <c r="BZ55" i="1" s="1"/>
  <c r="CA55" i="1" s="1"/>
  <c r="EI55" i="1"/>
  <c r="DC55" i="1"/>
  <c r="ED55" i="1"/>
  <c r="AM122" i="1"/>
  <c r="GY122" i="1"/>
  <c r="GW122" i="1"/>
  <c r="AE122" i="1"/>
  <c r="BE122" i="1"/>
  <c r="Y122" i="1"/>
  <c r="GS122" i="1"/>
  <c r="V122" i="1"/>
  <c r="AL122" i="1"/>
  <c r="GT122" i="1"/>
  <c r="GS117" i="1"/>
  <c r="GY117" i="1"/>
  <c r="GG117" i="1"/>
  <c r="EK123" i="1"/>
  <c r="EC123" i="1"/>
  <c r="EI97" i="1"/>
  <c r="ED97" i="1"/>
  <c r="FI97" i="1"/>
  <c r="EE97" i="1"/>
  <c r="DI122" i="1"/>
  <c r="GK111" i="1"/>
  <c r="EL110" i="1"/>
  <c r="EE106" i="1"/>
  <c r="EL103" i="1"/>
  <c r="BX103" i="1" s="1"/>
  <c r="EF122" i="1"/>
  <c r="E182" i="1"/>
  <c r="EF110" i="1"/>
  <c r="ED110" i="1"/>
  <c r="FI106" i="1"/>
  <c r="V111" i="1"/>
  <c r="DI105" i="1"/>
  <c r="GY103" i="1"/>
  <c r="GK103" i="1"/>
  <c r="V103" i="1"/>
  <c r="GS111" i="1"/>
  <c r="EE110" i="1"/>
  <c r="HG110" i="1" s="1"/>
  <c r="HH110" i="1" s="1"/>
  <c r="EI106" i="1"/>
  <c r="AM111" i="1"/>
  <c r="AE111" i="1"/>
  <c r="GG103" i="1"/>
  <c r="AL103" i="1"/>
  <c r="EF133" i="1"/>
  <c r="FB133" i="1"/>
  <c r="DI123" i="1"/>
  <c r="FB123" i="1"/>
  <c r="EF123" i="1"/>
  <c r="DI151" i="1"/>
  <c r="FB151" i="1"/>
  <c r="EF151" i="1"/>
  <c r="DI118" i="1"/>
  <c r="EF118" i="1"/>
  <c r="FB118" i="1"/>
  <c r="DI78" i="1"/>
  <c r="FB78" i="1"/>
  <c r="EF78" i="1"/>
  <c r="EF57" i="1"/>
  <c r="DI57" i="1"/>
  <c r="DI76" i="1"/>
  <c r="FB76" i="1"/>
  <c r="FB121" i="1"/>
  <c r="EF121" i="1"/>
  <c r="EF131" i="1"/>
  <c r="FB131" i="1"/>
  <c r="EF106" i="1"/>
  <c r="DI106" i="1"/>
  <c r="FB112" i="1"/>
  <c r="DI112" i="1"/>
  <c r="EF112" i="1"/>
  <c r="DI128" i="1"/>
  <c r="DI139" i="1"/>
  <c r="EF139" i="1"/>
  <c r="FB128" i="1"/>
  <c r="EF83" i="1"/>
  <c r="DI83" i="1"/>
  <c r="EF101" i="1"/>
  <c r="DI101" i="1"/>
  <c r="FB101" i="1"/>
  <c r="EF140" i="1"/>
  <c r="FB85" i="1"/>
  <c r="FB67" i="1"/>
  <c r="DI74" i="1"/>
  <c r="DI85" i="1"/>
  <c r="EF102" i="1"/>
  <c r="DI93" i="1"/>
  <c r="DI89" i="1"/>
  <c r="DI140" i="1"/>
  <c r="DI95" i="1"/>
  <c r="DI141" i="1"/>
  <c r="FI101" i="1"/>
  <c r="DC101" i="1"/>
  <c r="EI101" i="1"/>
  <c r="FI124" i="1"/>
  <c r="GA127" i="1"/>
  <c r="FY64" i="1"/>
  <c r="GC64" i="1"/>
  <c r="GK134" i="1"/>
  <c r="HE64" i="1"/>
  <c r="BX42" i="1"/>
  <c r="FY117" i="1"/>
  <c r="FZ117" i="1"/>
  <c r="GK53" i="1"/>
  <c r="FZ53" i="1"/>
  <c r="FZ122" i="1"/>
  <c r="GK122" i="1"/>
  <c r="FY122" i="1"/>
  <c r="GO123" i="1"/>
  <c r="GC123" i="1"/>
  <c r="GA123" i="1"/>
  <c r="HE123" i="1"/>
  <c r="GD123" i="1"/>
  <c r="EW123" i="1"/>
  <c r="FB59" i="1"/>
  <c r="FB117" i="1"/>
  <c r="EF117" i="1"/>
  <c r="DI117" i="1"/>
  <c r="F182" i="1"/>
  <c r="EK116" i="1"/>
  <c r="EC116" i="1"/>
  <c r="G182" i="1"/>
  <c r="C182" i="1"/>
  <c r="BE55" i="1"/>
  <c r="GT55" i="1"/>
  <c r="GK55" i="1"/>
  <c r="AL55" i="1"/>
  <c r="R55" i="1"/>
  <c r="EE117" i="1"/>
  <c r="EI117" i="1"/>
  <c r="R117" i="1"/>
  <c r="GT117" i="1"/>
  <c r="AL117" i="1"/>
  <c r="AE123" i="1"/>
  <c r="BE123" i="1"/>
  <c r="GW123" i="1"/>
  <c r="GK123" i="1"/>
  <c r="HF55" i="1"/>
  <c r="EW55" i="1"/>
  <c r="GC55" i="1"/>
  <c r="GZ55" i="1"/>
  <c r="GA55" i="1"/>
  <c r="HE55" i="1"/>
  <c r="GO55" i="1"/>
  <c r="V55" i="1"/>
  <c r="AE55" i="1"/>
  <c r="GD55" i="1"/>
  <c r="GG55" i="1"/>
  <c r="AM125" i="1"/>
  <c r="W125" i="1"/>
  <c r="AE125" i="1"/>
  <c r="EL117" i="1"/>
  <c r="BE117" i="1"/>
  <c r="AM117" i="1"/>
  <c r="AE117" i="1"/>
  <c r="EC122" i="1"/>
  <c r="W123" i="1"/>
  <c r="R123" i="1"/>
  <c r="GS123" i="1"/>
  <c r="HK122" i="1"/>
  <c r="EE107" i="1"/>
  <c r="ED107" i="1"/>
  <c r="EI107" i="1"/>
  <c r="FI107" i="1"/>
  <c r="EL107" i="1"/>
  <c r="Y55" i="1"/>
  <c r="GS55" i="1"/>
  <c r="DC117" i="1"/>
  <c r="Y117" i="1"/>
  <c r="GW117" i="1"/>
  <c r="V117" i="1"/>
  <c r="GT123" i="1"/>
  <c r="V123" i="1"/>
  <c r="GA116" i="1"/>
  <c r="EW116" i="1"/>
  <c r="I182" i="1"/>
  <c r="R111" i="1"/>
  <c r="H182" i="1"/>
  <c r="D182" i="1"/>
  <c r="D184" i="1" s="1"/>
  <c r="EE111" i="1"/>
  <c r="HJ111" i="1"/>
  <c r="FI111" i="1"/>
  <c r="DC111" i="1"/>
  <c r="FI105" i="1"/>
  <c r="EI105" i="1"/>
  <c r="DC103" i="1"/>
  <c r="GG111" i="1"/>
  <c r="EL97" i="1"/>
  <c r="FI55" i="1"/>
  <c r="ED105" i="1"/>
  <c r="EW111" i="1"/>
  <c r="AL111" i="1"/>
  <c r="ED103" i="1"/>
  <c r="O111" i="1"/>
  <c r="HF111" i="1"/>
  <c r="GD111" i="1"/>
  <c r="HJ97" i="1"/>
  <c r="GZ111" i="1"/>
  <c r="GY111" i="1"/>
  <c r="EL111" i="1"/>
  <c r="BY111" i="1" s="1"/>
  <c r="EE55" i="1"/>
  <c r="ED106" i="1"/>
  <c r="FI103" i="1"/>
  <c r="EF113" i="1"/>
  <c r="DI113" i="1"/>
  <c r="FB148" i="1"/>
  <c r="EF148" i="1"/>
  <c r="DI148" i="1"/>
  <c r="FB136" i="1"/>
  <c r="FB113" i="1"/>
  <c r="FB149" i="1"/>
  <c r="DI149" i="1"/>
  <c r="EF149" i="1"/>
  <c r="FB144" i="1"/>
  <c r="DI144" i="1"/>
  <c r="EF144" i="1"/>
  <c r="FB75" i="1"/>
  <c r="EF75" i="1"/>
  <c r="FB116" i="1"/>
  <c r="DI116" i="1"/>
  <c r="EF132" i="1"/>
  <c r="DI132" i="1"/>
  <c r="EF103" i="1"/>
  <c r="FB103" i="1"/>
  <c r="GC107" i="1" l="1"/>
  <c r="GC102" i="1"/>
  <c r="GO13" i="1"/>
  <c r="GD33" i="1"/>
  <c r="GZ120" i="1"/>
  <c r="HE33" i="1"/>
  <c r="EN150" i="1"/>
  <c r="EP150" i="1" s="1"/>
  <c r="EW10" i="1"/>
  <c r="GZ135" i="1"/>
  <c r="HF135" i="1"/>
  <c r="HE135" i="1"/>
  <c r="EW135" i="1"/>
  <c r="GD135" i="1"/>
  <c r="EL101" i="1"/>
  <c r="EN101" i="1" s="1"/>
  <c r="EP101" i="1" s="1"/>
  <c r="GC135" i="1"/>
  <c r="GA135" i="1"/>
  <c r="HF102" i="1"/>
  <c r="EI127" i="1"/>
  <c r="DC127" i="1"/>
  <c r="EW25" i="1"/>
  <c r="EL127" i="1"/>
  <c r="EN127" i="1" s="1"/>
  <c r="EP127" i="1" s="1"/>
  <c r="ED127" i="1"/>
  <c r="EW121" i="1"/>
  <c r="HE121" i="1"/>
  <c r="EN96" i="1"/>
  <c r="EP96" i="1" s="1"/>
  <c r="EW96" i="1"/>
  <c r="HF121" i="1"/>
  <c r="HG121" i="1" s="1"/>
  <c r="HH121" i="1" s="1"/>
  <c r="EE127" i="1"/>
  <c r="BX96" i="1"/>
  <c r="EL147" i="1"/>
  <c r="BY147" i="1" s="1"/>
  <c r="BZ147" i="1" s="1"/>
  <c r="CA147" i="1" s="1"/>
  <c r="ED147" i="1"/>
  <c r="GD31" i="1"/>
  <c r="GD16" i="1"/>
  <c r="DO90" i="1"/>
  <c r="EN105" i="1"/>
  <c r="EP105" i="1" s="1"/>
  <c r="BX108" i="1"/>
  <c r="EW16" i="1"/>
  <c r="HE107" i="1"/>
  <c r="EL128" i="1"/>
  <c r="EN128" i="1" s="1"/>
  <c r="EP128" i="1" s="1"/>
  <c r="GD107" i="1"/>
  <c r="EW107" i="1"/>
  <c r="DC135" i="1"/>
  <c r="HG107" i="1"/>
  <c r="HH107" i="1" s="1"/>
  <c r="GZ107" i="1"/>
  <c r="D201" i="1"/>
  <c r="GC152" i="1"/>
  <c r="GA94" i="1"/>
  <c r="BZ71" i="1"/>
  <c r="CA71" i="1" s="1"/>
  <c r="ED109" i="1"/>
  <c r="GC31" i="1"/>
  <c r="GD120" i="1"/>
  <c r="GA107" i="1"/>
  <c r="EW31" i="1"/>
  <c r="HE31" i="1"/>
  <c r="HF31" i="1"/>
  <c r="HG31" i="1" s="1"/>
  <c r="HH31" i="1" s="1"/>
  <c r="GZ106" i="1"/>
  <c r="GA31" i="1"/>
  <c r="GO131" i="1"/>
  <c r="DC57" i="1"/>
  <c r="HE16" i="1"/>
  <c r="GO30" i="1"/>
  <c r="GA13" i="1"/>
  <c r="HE118" i="1"/>
  <c r="FI147" i="1"/>
  <c r="ED74" i="1"/>
  <c r="GA47" i="1"/>
  <c r="GD30" i="1"/>
  <c r="EL140" i="1"/>
  <c r="BX140" i="1" s="1"/>
  <c r="GZ118" i="1"/>
  <c r="GA52" i="1"/>
  <c r="EE147" i="1"/>
  <c r="GZ47" i="1"/>
  <c r="EW30" i="1"/>
  <c r="GD52" i="1"/>
  <c r="EI103" i="1"/>
  <c r="GD40" i="1"/>
  <c r="HE147" i="1"/>
  <c r="EW39" i="1"/>
  <c r="EN131" i="1"/>
  <c r="EP131" i="1" s="1"/>
  <c r="DC147" i="1"/>
  <c r="FI74" i="1"/>
  <c r="EW147" i="1"/>
  <c r="GZ141" i="1"/>
  <c r="GC141" i="1"/>
  <c r="ED128" i="1"/>
  <c r="EE76" i="1"/>
  <c r="HG76" i="1" s="1"/>
  <c r="HH76" i="1" s="1"/>
  <c r="DC76" i="1"/>
  <c r="EL74" i="1"/>
  <c r="EE74" i="1"/>
  <c r="HG74" i="1" s="1"/>
  <c r="HH74" i="1" s="1"/>
  <c r="HG82" i="1"/>
  <c r="HH82" i="1" s="1"/>
  <c r="HE30" i="1"/>
  <c r="HE39" i="1"/>
  <c r="GA121" i="1"/>
  <c r="GC121" i="1"/>
  <c r="GD121" i="1"/>
  <c r="HG119" i="1"/>
  <c r="HH119" i="1" s="1"/>
  <c r="HG55" i="1"/>
  <c r="HH55" i="1" s="1"/>
  <c r="HE113" i="1"/>
  <c r="HG111" i="1"/>
  <c r="HH111" i="1" s="1"/>
  <c r="GW154" i="1"/>
  <c r="HF113" i="1"/>
  <c r="HG113" i="1" s="1"/>
  <c r="HH113" i="1" s="1"/>
  <c r="HG120" i="1"/>
  <c r="HH120" i="1" s="1"/>
  <c r="HG150" i="1"/>
  <c r="HH150" i="1" s="1"/>
  <c r="HG81" i="1"/>
  <c r="HH81" i="1" s="1"/>
  <c r="EW52" i="1"/>
  <c r="HG67" i="1"/>
  <c r="HH67" i="1" s="1"/>
  <c r="GA101" i="1"/>
  <c r="HF101" i="1"/>
  <c r="HG101" i="1" s="1"/>
  <c r="HH101" i="1" s="1"/>
  <c r="EI135" i="1"/>
  <c r="EW101" i="1"/>
  <c r="GO101" i="1"/>
  <c r="GZ101" i="1"/>
  <c r="HE101" i="1"/>
  <c r="HG108" i="1"/>
  <c r="HH108" i="1" s="1"/>
  <c r="HG80" i="1"/>
  <c r="HH80" i="1" s="1"/>
  <c r="HF147" i="1"/>
  <c r="GZ22" i="1"/>
  <c r="GA25" i="1"/>
  <c r="GC25" i="1"/>
  <c r="EI139" i="1"/>
  <c r="GC96" i="1"/>
  <c r="GO73" i="1"/>
  <c r="EW152" i="1"/>
  <c r="DC124" i="1"/>
  <c r="FI76" i="1"/>
  <c r="EL133" i="1"/>
  <c r="BX133" i="1" s="1"/>
  <c r="EE109" i="1"/>
  <c r="HG109" i="1" s="1"/>
  <c r="HH109" i="1" s="1"/>
  <c r="GZ40" i="1"/>
  <c r="GO147" i="1"/>
  <c r="EL109" i="1"/>
  <c r="BY109" i="1" s="1"/>
  <c r="BZ109" i="1" s="1"/>
  <c r="CA109" i="1" s="1"/>
  <c r="FI109" i="1"/>
  <c r="GC147" i="1"/>
  <c r="EE124" i="1"/>
  <c r="GA152" i="1"/>
  <c r="EI124" i="1"/>
  <c r="EE139" i="1"/>
  <c r="GA102" i="1"/>
  <c r="GO102" i="1"/>
  <c r="GD102" i="1"/>
  <c r="GC44" i="1"/>
  <c r="HE102" i="1"/>
  <c r="GD94" i="1"/>
  <c r="EL76" i="1"/>
  <c r="BX76" i="1" s="1"/>
  <c r="DC109" i="1"/>
  <c r="HF144" i="1"/>
  <c r="GZ96" i="1"/>
  <c r="EW102" i="1"/>
  <c r="GO96" i="1"/>
  <c r="HE94" i="1"/>
  <c r="GO94" i="1"/>
  <c r="DC128" i="1"/>
  <c r="GW27" i="1"/>
  <c r="GO106" i="1"/>
  <c r="ED81" i="1"/>
  <c r="HE106" i="1"/>
  <c r="DC81" i="1"/>
  <c r="ED135" i="1"/>
  <c r="GZ27" i="1"/>
  <c r="EE128" i="1"/>
  <c r="FI81" i="1"/>
  <c r="HF106" i="1"/>
  <c r="HG106" i="1" s="1"/>
  <c r="HH106" i="1" s="1"/>
  <c r="EN113" i="1"/>
  <c r="EP113" i="1" s="1"/>
  <c r="EN146" i="1"/>
  <c r="EP146" i="1" s="1"/>
  <c r="EW106" i="1"/>
  <c r="GC106" i="1"/>
  <c r="FI128" i="1"/>
  <c r="GA106" i="1"/>
  <c r="GB27" i="1"/>
  <c r="HJ27" i="1" s="1"/>
  <c r="GY27" i="1"/>
  <c r="GY154" i="1" s="1"/>
  <c r="EI81" i="1"/>
  <c r="EL81" i="1"/>
  <c r="EN81" i="1" s="1"/>
  <c r="EP81" i="1" s="1"/>
  <c r="EE135" i="1"/>
  <c r="GV154" i="1"/>
  <c r="GZ144" i="1"/>
  <c r="BY135" i="1"/>
  <c r="BZ135" i="1" s="1"/>
  <c r="CA135" i="1" s="1"/>
  <c r="BX113" i="1"/>
  <c r="EN120" i="1"/>
  <c r="EP120" i="1" s="1"/>
  <c r="GD130" i="1"/>
  <c r="FI102" i="1"/>
  <c r="GZ69" i="1"/>
  <c r="EI102" i="1"/>
  <c r="GA131" i="1"/>
  <c r="GA39" i="1"/>
  <c r="BX92" i="1"/>
  <c r="EN92" i="1"/>
  <c r="EP92" i="1" s="1"/>
  <c r="GD39" i="1"/>
  <c r="FI140" i="1"/>
  <c r="HE18" i="1"/>
  <c r="GZ39" i="1"/>
  <c r="HE133" i="1"/>
  <c r="EI140" i="1"/>
  <c r="GD133" i="1"/>
  <c r="GZ133" i="1"/>
  <c r="HF133" i="1"/>
  <c r="HG133" i="1" s="1"/>
  <c r="HH133" i="1" s="1"/>
  <c r="GA130" i="1"/>
  <c r="EE102" i="1"/>
  <c r="GO130" i="1"/>
  <c r="GZ18" i="1"/>
  <c r="GC39" i="1"/>
  <c r="EE152" i="1"/>
  <c r="HG152" i="1" s="1"/>
  <c r="HH152" i="1" s="1"/>
  <c r="GA18" i="1"/>
  <c r="GC133" i="1"/>
  <c r="GA133" i="1"/>
  <c r="EN80" i="1"/>
  <c r="EP80" i="1" s="1"/>
  <c r="EN85" i="1"/>
  <c r="EP85" i="1" s="1"/>
  <c r="GD78" i="1"/>
  <c r="GC16" i="1"/>
  <c r="GC30" i="1"/>
  <c r="HF96" i="1"/>
  <c r="HG96" i="1" s="1"/>
  <c r="HH96" i="1" s="1"/>
  <c r="GZ152" i="1"/>
  <c r="HF16" i="1"/>
  <c r="HG16" i="1" s="1"/>
  <c r="HH16" i="1" s="1"/>
  <c r="GZ30" i="1"/>
  <c r="GA96" i="1"/>
  <c r="GD131" i="1"/>
  <c r="GD25" i="1"/>
  <c r="EI141" i="1"/>
  <c r="EW44" i="1"/>
  <c r="HE5" i="1"/>
  <c r="GD44" i="1"/>
  <c r="GD47" i="1"/>
  <c r="EL118" i="1"/>
  <c r="BX118" i="1" s="1"/>
  <c r="GO47" i="1"/>
  <c r="HH32" i="1"/>
  <c r="GD69" i="1"/>
  <c r="GD91" i="1"/>
  <c r="DC152" i="1"/>
  <c r="HF40" i="1"/>
  <c r="HG40" i="1" s="1"/>
  <c r="EW15" i="1"/>
  <c r="GC118" i="1"/>
  <c r="GA118" i="1"/>
  <c r="HF141" i="1"/>
  <c r="HG141" i="1" s="1"/>
  <c r="HH141" i="1" s="1"/>
  <c r="DS90" i="1"/>
  <c r="GC91" i="1"/>
  <c r="GC149" i="1"/>
  <c r="GO118" i="1"/>
  <c r="EW118" i="1"/>
  <c r="GA141" i="1"/>
  <c r="BY146" i="1"/>
  <c r="BZ146" i="1" s="1"/>
  <c r="CA146" i="1" s="1"/>
  <c r="FI69" i="1"/>
  <c r="EW141" i="1"/>
  <c r="HE149" i="1"/>
  <c r="HF118" i="1"/>
  <c r="EW144" i="1"/>
  <c r="GO144" i="1"/>
  <c r="HF115" i="1"/>
  <c r="HG115" i="1" s="1"/>
  <c r="HH115" i="1" s="1"/>
  <c r="DC118" i="1"/>
  <c r="EL141" i="1"/>
  <c r="BX141" i="1" s="1"/>
  <c r="EW131" i="1"/>
  <c r="GO152" i="1"/>
  <c r="HE151" i="1"/>
  <c r="BX121" i="1"/>
  <c r="GA151" i="1"/>
  <c r="GA95" i="1"/>
  <c r="HE137" i="1"/>
  <c r="GO40" i="1"/>
  <c r="GZ44" i="1"/>
  <c r="FI133" i="1"/>
  <c r="GC103" i="1"/>
  <c r="EW78" i="1"/>
  <c r="DC133" i="1"/>
  <c r="HE40" i="1"/>
  <c r="GC40" i="1"/>
  <c r="HE103" i="1"/>
  <c r="EN108" i="1"/>
  <c r="EP108" i="1" s="1"/>
  <c r="GO18" i="1"/>
  <c r="GC130" i="1"/>
  <c r="EE140" i="1"/>
  <c r="GD18" i="1"/>
  <c r="HF18" i="1"/>
  <c r="HG18" i="1" s="1"/>
  <c r="DC140" i="1"/>
  <c r="EL102" i="1"/>
  <c r="GZ5" i="1"/>
  <c r="GA144" i="1"/>
  <c r="GC144" i="1"/>
  <c r="BX135" i="1"/>
  <c r="FI135" i="1"/>
  <c r="GA79" i="1"/>
  <c r="GD137" i="1"/>
  <c r="EW143" i="1"/>
  <c r="GO79" i="1"/>
  <c r="GD5" i="1"/>
  <c r="HF30" i="1"/>
  <c r="HG30" i="1" s="1"/>
  <c r="HH30" i="1" s="1"/>
  <c r="GA16" i="1"/>
  <c r="GZ16" i="1"/>
  <c r="HE47" i="1"/>
  <c r="GC47" i="1"/>
  <c r="GZ151" i="1"/>
  <c r="GD90" i="1"/>
  <c r="HF47" i="1"/>
  <c r="HG47" i="1" s="1"/>
  <c r="GD95" i="1"/>
  <c r="GA5" i="1"/>
  <c r="EW5" i="1"/>
  <c r="EW79" i="1"/>
  <c r="GA91" i="1"/>
  <c r="GC79" i="1"/>
  <c r="HF5" i="1"/>
  <c r="HG5" i="1" s="1"/>
  <c r="GD79" i="1"/>
  <c r="HF79" i="1"/>
  <c r="HG79" i="1" s="1"/>
  <c r="HH79" i="1" s="1"/>
  <c r="GO5" i="1"/>
  <c r="BY121" i="1"/>
  <c r="BZ121" i="1" s="1"/>
  <c r="CA121" i="1" s="1"/>
  <c r="DC144" i="1"/>
  <c r="HF103" i="1"/>
  <c r="HG103" i="1" s="1"/>
  <c r="HH103" i="1" s="1"/>
  <c r="GA103" i="1"/>
  <c r="GD103" i="1"/>
  <c r="EE144" i="1"/>
  <c r="EW24" i="1"/>
  <c r="HF93" i="1"/>
  <c r="GO23" i="1"/>
  <c r="EW75" i="1"/>
  <c r="EN148" i="1"/>
  <c r="EP148" i="1" s="1"/>
  <c r="EW2" i="1"/>
  <c r="HF148" i="1"/>
  <c r="HG148" i="1" s="1"/>
  <c r="HH148" i="1" s="1"/>
  <c r="ED139" i="1"/>
  <c r="EW149" i="1"/>
  <c r="GZ149" i="1"/>
  <c r="GA23" i="1"/>
  <c r="HF22" i="1"/>
  <c r="HG22" i="1" s="1"/>
  <c r="GD2" i="1"/>
  <c r="HF149" i="1"/>
  <c r="GA149" i="1"/>
  <c r="GO39" i="1"/>
  <c r="GZ79" i="1"/>
  <c r="H202" i="1"/>
  <c r="D203" i="1"/>
  <c r="EI133" i="1"/>
  <c r="ED133" i="1"/>
  <c r="HE10" i="1"/>
  <c r="HF10" i="1"/>
  <c r="HG10" i="1" s="1"/>
  <c r="GD10" i="1"/>
  <c r="GZ10" i="1"/>
  <c r="GZ103" i="1"/>
  <c r="EW103" i="1"/>
  <c r="H203" i="1"/>
  <c r="FI144" i="1"/>
  <c r="DC125" i="1"/>
  <c r="GZ34" i="1"/>
  <c r="GA34" i="1"/>
  <c r="EW34" i="1"/>
  <c r="HF34" i="1"/>
  <c r="HG34" i="1" s="1"/>
  <c r="GD34" i="1"/>
  <c r="GO34" i="1"/>
  <c r="GC34" i="1"/>
  <c r="HE34" i="1"/>
  <c r="HE44" i="1"/>
  <c r="GO44" i="1"/>
  <c r="HF44" i="1"/>
  <c r="HG44" i="1" s="1"/>
  <c r="FI125" i="1"/>
  <c r="GO25" i="1"/>
  <c r="HF25" i="1"/>
  <c r="HG25" i="1" s="1"/>
  <c r="HH25" i="1" s="1"/>
  <c r="HE25" i="1"/>
  <c r="GW157" i="1"/>
  <c r="GC56" i="1"/>
  <c r="GD56" i="1"/>
  <c r="EW56" i="1"/>
  <c r="HF56" i="1"/>
  <c r="HG56" i="1" s="1"/>
  <c r="HE56" i="1"/>
  <c r="GO56" i="1"/>
  <c r="GA56" i="1"/>
  <c r="HE89" i="1"/>
  <c r="GA89" i="1"/>
  <c r="HF89" i="1"/>
  <c r="HG89" i="1" s="1"/>
  <c r="HH89" i="1" s="1"/>
  <c r="GD89" i="1"/>
  <c r="GC89" i="1"/>
  <c r="EW89" i="1"/>
  <c r="GO89" i="1"/>
  <c r="GZ89" i="1"/>
  <c r="EW46" i="1"/>
  <c r="GC46" i="1"/>
  <c r="GO46" i="1"/>
  <c r="GD46" i="1"/>
  <c r="GA75" i="1"/>
  <c r="HF75" i="1"/>
  <c r="GD75" i="1"/>
  <c r="GC75" i="1"/>
  <c r="HE75" i="1"/>
  <c r="GO75" i="1"/>
  <c r="EL149" i="1"/>
  <c r="EN149" i="1" s="1"/>
  <c r="EP149" i="1" s="1"/>
  <c r="EI149" i="1"/>
  <c r="EE149" i="1"/>
  <c r="ED149" i="1"/>
  <c r="DC149" i="1"/>
  <c r="DC91" i="1"/>
  <c r="ED91" i="1"/>
  <c r="FI91" i="1"/>
  <c r="EE91" i="1"/>
  <c r="EL91" i="1"/>
  <c r="ED118" i="1"/>
  <c r="FI118" i="1"/>
  <c r="EE118" i="1"/>
  <c r="EL144" i="1"/>
  <c r="EI144" i="1"/>
  <c r="EN67" i="1"/>
  <c r="EP67" i="1" s="1"/>
  <c r="FI67" i="1"/>
  <c r="EL94" i="1"/>
  <c r="DC94" i="1"/>
  <c r="ED94" i="1"/>
  <c r="EE94" i="1"/>
  <c r="HG94" i="1" s="1"/>
  <c r="HH94" i="1" s="1"/>
  <c r="FI94" i="1"/>
  <c r="EW113" i="1"/>
  <c r="GD113" i="1"/>
  <c r="GO113" i="1"/>
  <c r="GA113" i="1"/>
  <c r="HE13" i="1"/>
  <c r="GC13" i="1"/>
  <c r="EW13" i="1"/>
  <c r="GD13" i="1"/>
  <c r="HF13" i="1"/>
  <c r="HG13" i="1" s="1"/>
  <c r="HH13" i="1" s="1"/>
  <c r="GZ142" i="1"/>
  <c r="GO142" i="1"/>
  <c r="GC142" i="1"/>
  <c r="HE142" i="1"/>
  <c r="HF142" i="1"/>
  <c r="EW142" i="1"/>
  <c r="GA142" i="1"/>
  <c r="GD50" i="1"/>
  <c r="GC50" i="1"/>
  <c r="GA50" i="1"/>
  <c r="GO50" i="1"/>
  <c r="EW50" i="1"/>
  <c r="HF97" i="1"/>
  <c r="HG97" i="1" s="1"/>
  <c r="HH97" i="1" s="1"/>
  <c r="GZ97" i="1"/>
  <c r="GD97" i="1"/>
  <c r="GA97" i="1"/>
  <c r="GO97" i="1"/>
  <c r="GC97" i="1"/>
  <c r="EW97" i="1"/>
  <c r="HE97" i="1"/>
  <c r="FI139" i="1"/>
  <c r="EL139" i="1"/>
  <c r="HE28" i="1"/>
  <c r="EW28" i="1"/>
  <c r="GZ28" i="1"/>
  <c r="GA28" i="1"/>
  <c r="HF28" i="1"/>
  <c r="HG28" i="1" s="1"/>
  <c r="HH28" i="1" s="1"/>
  <c r="GC28" i="1"/>
  <c r="GO28" i="1"/>
  <c r="GD28" i="1"/>
  <c r="HE32" i="1"/>
  <c r="GO32" i="1"/>
  <c r="GC32" i="1"/>
  <c r="HF12" i="1"/>
  <c r="HG12" i="1" s="1"/>
  <c r="HH12" i="1" s="1"/>
  <c r="GA12" i="1"/>
  <c r="GC12" i="1"/>
  <c r="HE12" i="1"/>
  <c r="GO12" i="1"/>
  <c r="GD12" i="1"/>
  <c r="GZ12" i="1"/>
  <c r="FI126" i="1"/>
  <c r="ED126" i="1"/>
  <c r="EI126" i="1"/>
  <c r="EL126" i="1"/>
  <c r="EN126" i="1" s="1"/>
  <c r="EP126" i="1" s="1"/>
  <c r="DC126" i="1"/>
  <c r="EE126" i="1"/>
  <c r="GA41" i="1"/>
  <c r="GC41" i="1"/>
  <c r="GD41" i="1"/>
  <c r="HF41" i="1"/>
  <c r="HG41" i="1" s="1"/>
  <c r="HH41" i="1" s="1"/>
  <c r="GO41" i="1"/>
  <c r="HE41" i="1"/>
  <c r="EW41" i="1"/>
  <c r="GZ41" i="1"/>
  <c r="EW73" i="1"/>
  <c r="GC73" i="1"/>
  <c r="HF73" i="1"/>
  <c r="GZ73" i="1"/>
  <c r="HE73" i="1"/>
  <c r="GD73" i="1"/>
  <c r="DC78" i="1"/>
  <c r="FI78" i="1"/>
  <c r="EL78" i="1"/>
  <c r="EN78" i="1" s="1"/>
  <c r="EP78" i="1" s="1"/>
  <c r="EE78" i="1"/>
  <c r="HG78" i="1" s="1"/>
  <c r="HH78" i="1" s="1"/>
  <c r="ED78" i="1"/>
  <c r="ED152" i="1"/>
  <c r="EL152" i="1"/>
  <c r="EI152" i="1"/>
  <c r="GO69" i="1"/>
  <c r="HF69" i="1"/>
  <c r="GC69" i="1"/>
  <c r="HE69" i="1"/>
  <c r="EW69" i="1"/>
  <c r="EW92" i="1"/>
  <c r="GD92" i="1"/>
  <c r="GZ92" i="1"/>
  <c r="GO92" i="1"/>
  <c r="GC92" i="1"/>
  <c r="HF92" i="1"/>
  <c r="HG92" i="1" s="1"/>
  <c r="HH92" i="1" s="1"/>
  <c r="HE92" i="1"/>
  <c r="GA92" i="1"/>
  <c r="EL125" i="1"/>
  <c r="EN125" i="1" s="1"/>
  <c r="EP125" i="1" s="1"/>
  <c r="HJ29" i="1"/>
  <c r="D206" i="1"/>
  <c r="H205" i="1"/>
  <c r="GA22" i="1"/>
  <c r="EW22" i="1"/>
  <c r="HE22" i="1"/>
  <c r="GC22" i="1"/>
  <c r="GD22" i="1"/>
  <c r="GZ74" i="1"/>
  <c r="EW74" i="1"/>
  <c r="GO74" i="1"/>
  <c r="HE74" i="1"/>
  <c r="GA74" i="1"/>
  <c r="GD74" i="1"/>
  <c r="GC74" i="1"/>
  <c r="GO93" i="1"/>
  <c r="GA93" i="1"/>
  <c r="GD93" i="1"/>
  <c r="HE93" i="1"/>
  <c r="GC93" i="1"/>
  <c r="GZ93" i="1"/>
  <c r="GD88" i="1"/>
  <c r="GA88" i="1"/>
  <c r="HE88" i="1"/>
  <c r="EW88" i="1"/>
  <c r="HF88" i="1"/>
  <c r="HG88" i="1" s="1"/>
  <c r="GZ88" i="1"/>
  <c r="GO88" i="1"/>
  <c r="GC88" i="1"/>
  <c r="EW7" i="1"/>
  <c r="GC7" i="1"/>
  <c r="HE7" i="1"/>
  <c r="GO7" i="1"/>
  <c r="GA7" i="1"/>
  <c r="GD7" i="1"/>
  <c r="HF7" i="1"/>
  <c r="HG7" i="1" s="1"/>
  <c r="GZ7" i="1"/>
  <c r="EE87" i="1"/>
  <c r="HG87" i="1" s="1"/>
  <c r="HH87" i="1" s="1"/>
  <c r="DC87" i="1"/>
  <c r="EL87" i="1"/>
  <c r="EN87" i="1" s="1"/>
  <c r="EP87" i="1" s="1"/>
  <c r="EI87" i="1"/>
  <c r="ED87" i="1"/>
  <c r="FI87" i="1"/>
  <c r="GO148" i="1"/>
  <c r="GA148" i="1"/>
  <c r="HE148" i="1"/>
  <c r="GZ148" i="1"/>
  <c r="EW148" i="1"/>
  <c r="EW115" i="1"/>
  <c r="GC115" i="1"/>
  <c r="GA115" i="1"/>
  <c r="HE115" i="1"/>
  <c r="GD115" i="1"/>
  <c r="GO115" i="1"/>
  <c r="HE15" i="1"/>
  <c r="GC15" i="1"/>
  <c r="GD15" i="1"/>
  <c r="GA15" i="1"/>
  <c r="HF15" i="1"/>
  <c r="HG15" i="1" s="1"/>
  <c r="GO15" i="1"/>
  <c r="HF137" i="1"/>
  <c r="HG137" i="1" s="1"/>
  <c r="GO137" i="1"/>
  <c r="GC137" i="1"/>
  <c r="GA137" i="1"/>
  <c r="GA143" i="1"/>
  <c r="HF143" i="1"/>
  <c r="HG143" i="1" s="1"/>
  <c r="HH143" i="1" s="1"/>
  <c r="GO143" i="1"/>
  <c r="GZ143" i="1"/>
  <c r="GC143" i="1"/>
  <c r="EW99" i="1"/>
  <c r="GC99" i="1"/>
  <c r="HF99" i="1"/>
  <c r="HG99" i="1" s="1"/>
  <c r="GD99" i="1"/>
  <c r="GO99" i="1"/>
  <c r="HE99" i="1"/>
  <c r="GZ99" i="1"/>
  <c r="GA99" i="1"/>
  <c r="GO20" i="1"/>
  <c r="GD20" i="1"/>
  <c r="HE20" i="1"/>
  <c r="EW20" i="1"/>
  <c r="GC20" i="1"/>
  <c r="GZ20" i="1"/>
  <c r="GA20" i="1"/>
  <c r="HF20" i="1"/>
  <c r="HG20" i="1" s="1"/>
  <c r="GC8" i="1"/>
  <c r="GZ8" i="1"/>
  <c r="GA8" i="1"/>
  <c r="GO8" i="1"/>
  <c r="GD8" i="1"/>
  <c r="HE8" i="1"/>
  <c r="HF8" i="1"/>
  <c r="HG8" i="1" s="1"/>
  <c r="EW8" i="1"/>
  <c r="DC141" i="1"/>
  <c r="FI141" i="1"/>
  <c r="ED141" i="1"/>
  <c r="HE57" i="1"/>
  <c r="EW57" i="1"/>
  <c r="GA57" i="1"/>
  <c r="GD57" i="1"/>
  <c r="GO57" i="1"/>
  <c r="HF57" i="1"/>
  <c r="GC57" i="1"/>
  <c r="GA125" i="1"/>
  <c r="HK70" i="1"/>
  <c r="GZ61" i="1"/>
  <c r="GC61" i="1"/>
  <c r="HF61" i="1"/>
  <c r="HG61" i="1" s="1"/>
  <c r="HH61" i="1" s="1"/>
  <c r="GD61" i="1"/>
  <c r="GA61" i="1"/>
  <c r="HE61" i="1"/>
  <c r="EW61" i="1"/>
  <c r="GO61" i="1"/>
  <c r="HF91" i="1"/>
  <c r="GZ91" i="1"/>
  <c r="HE91" i="1"/>
  <c r="GO91" i="1"/>
  <c r="GC134" i="1"/>
  <c r="GD134" i="1"/>
  <c r="HE134" i="1"/>
  <c r="GZ134" i="1"/>
  <c r="GA134" i="1"/>
  <c r="HF134" i="1"/>
  <c r="HG134" i="1" s="1"/>
  <c r="EW134" i="1"/>
  <c r="GO134" i="1"/>
  <c r="EW26" i="1"/>
  <c r="HF26" i="1"/>
  <c r="HG26" i="1" s="1"/>
  <c r="GZ26" i="1"/>
  <c r="GC26" i="1"/>
  <c r="GD26" i="1"/>
  <c r="GA26" i="1"/>
  <c r="HE26" i="1"/>
  <c r="GO26" i="1"/>
  <c r="HF90" i="1"/>
  <c r="HG90" i="1" s="1"/>
  <c r="HE90" i="1"/>
  <c r="EW90" i="1"/>
  <c r="GZ90" i="1"/>
  <c r="GC90" i="1"/>
  <c r="GO90" i="1"/>
  <c r="EW95" i="1"/>
  <c r="GO95" i="1"/>
  <c r="HF95" i="1"/>
  <c r="HG95" i="1" s="1"/>
  <c r="HH95" i="1" s="1"/>
  <c r="GZ95" i="1"/>
  <c r="GC95" i="1"/>
  <c r="EI57" i="1"/>
  <c r="EL57" i="1" s="1"/>
  <c r="EN57" i="1" s="1"/>
  <c r="EP57" i="1" s="1"/>
  <c r="EE57" i="1"/>
  <c r="ED57" i="1"/>
  <c r="BY148" i="1"/>
  <c r="BZ148" i="1" s="1"/>
  <c r="CA148" i="1" s="1"/>
  <c r="BX148" i="1"/>
  <c r="EW151" i="1"/>
  <c r="HF151" i="1"/>
  <c r="GC151" i="1"/>
  <c r="GZ65" i="1"/>
  <c r="HE65" i="1"/>
  <c r="EW65" i="1"/>
  <c r="GA65" i="1"/>
  <c r="HF65" i="1"/>
  <c r="HG65" i="1" s="1"/>
  <c r="HH65" i="1" s="1"/>
  <c r="GD65" i="1"/>
  <c r="GC65" i="1"/>
  <c r="GO65" i="1"/>
  <c r="FI70" i="1"/>
  <c r="FI132" i="1"/>
  <c r="EE132" i="1"/>
  <c r="EL132" i="1"/>
  <c r="EN132" i="1" s="1"/>
  <c r="EP132" i="1" s="1"/>
  <c r="ED132" i="1"/>
  <c r="DC132" i="1"/>
  <c r="EI132" i="1"/>
  <c r="GC136" i="1"/>
  <c r="HE136" i="1"/>
  <c r="EW136" i="1"/>
  <c r="HF136" i="1"/>
  <c r="GZ136" i="1"/>
  <c r="GA136" i="1"/>
  <c r="GD136" i="1"/>
  <c r="GO136" i="1"/>
  <c r="GZ139" i="1"/>
  <c r="HF139" i="1"/>
  <c r="GO139" i="1"/>
  <c r="HE139" i="1"/>
  <c r="GC139" i="1"/>
  <c r="EW139" i="1"/>
  <c r="GA139" i="1"/>
  <c r="D204" i="1"/>
  <c r="H200" i="1"/>
  <c r="H207" i="1" s="1"/>
  <c r="H204" i="1"/>
  <c r="GC140" i="1"/>
  <c r="EW140" i="1"/>
  <c r="GA140" i="1"/>
  <c r="GO140" i="1"/>
  <c r="HE140" i="1"/>
  <c r="HF140" i="1"/>
  <c r="GD140" i="1"/>
  <c r="GZ140" i="1"/>
  <c r="ED75" i="1"/>
  <c r="FI75" i="1"/>
  <c r="DC75" i="1"/>
  <c r="EE75" i="1"/>
  <c r="DC86" i="1"/>
  <c r="ED86" i="1"/>
  <c r="EE86" i="1"/>
  <c r="HG86" i="1" s="1"/>
  <c r="HH86" i="1" s="1"/>
  <c r="EI86" i="1"/>
  <c r="FI86" i="1"/>
  <c r="EL86" i="1"/>
  <c r="EN86" i="1" s="1"/>
  <c r="EP86" i="1" s="1"/>
  <c r="EE151" i="1"/>
  <c r="EL151" i="1"/>
  <c r="EI151" i="1"/>
  <c r="DC151" i="1"/>
  <c r="ED151" i="1"/>
  <c r="EE125" i="1"/>
  <c r="H201" i="1"/>
  <c r="GD23" i="1"/>
  <c r="GC23" i="1"/>
  <c r="HF23" i="1"/>
  <c r="HG23" i="1" s="1"/>
  <c r="HH23" i="1" s="1"/>
  <c r="GZ23" i="1"/>
  <c r="EW23" i="1"/>
  <c r="GA126" i="1"/>
  <c r="HF126" i="1"/>
  <c r="GD126" i="1"/>
  <c r="EW126" i="1"/>
  <c r="HE126" i="1"/>
  <c r="GO126" i="1"/>
  <c r="GC126" i="1"/>
  <c r="HE105" i="1"/>
  <c r="EW105" i="1"/>
  <c r="HF105" i="1"/>
  <c r="HG105" i="1" s="1"/>
  <c r="HH105" i="1" s="1"/>
  <c r="GZ105" i="1"/>
  <c r="GD105" i="1"/>
  <c r="GC105" i="1"/>
  <c r="GO105" i="1"/>
  <c r="GA105" i="1"/>
  <c r="GA78" i="1"/>
  <c r="GO78" i="1"/>
  <c r="GZ78" i="1"/>
  <c r="GC78" i="1"/>
  <c r="HE78" i="1"/>
  <c r="EI125" i="1"/>
  <c r="GD3" i="1"/>
  <c r="GO84" i="1"/>
  <c r="GZ84" i="1"/>
  <c r="HE84" i="1"/>
  <c r="GC84" i="1"/>
  <c r="GD84" i="1"/>
  <c r="HF84" i="1"/>
  <c r="HG84" i="1" s="1"/>
  <c r="EW84" i="1"/>
  <c r="GA84" i="1"/>
  <c r="GO9" i="1"/>
  <c r="HF9" i="1"/>
  <c r="HG9" i="1" s="1"/>
  <c r="GA9" i="1"/>
  <c r="GD9" i="1"/>
  <c r="EW9" i="1"/>
  <c r="GC9" i="1"/>
  <c r="HE9" i="1"/>
  <c r="GZ9" i="1"/>
  <c r="GO146" i="1"/>
  <c r="HE146" i="1"/>
  <c r="EW146" i="1"/>
  <c r="HF146" i="1"/>
  <c r="HG146" i="1" s="1"/>
  <c r="HH146" i="1" s="1"/>
  <c r="GC146" i="1"/>
  <c r="GZ146" i="1"/>
  <c r="GA146" i="1"/>
  <c r="DC114" i="1"/>
  <c r="EE114" i="1"/>
  <c r="FI114" i="1"/>
  <c r="EL114" i="1"/>
  <c r="ED114" i="1"/>
  <c r="EL142" i="1"/>
  <c r="DC142" i="1"/>
  <c r="ED142" i="1"/>
  <c r="FI142" i="1"/>
  <c r="EI142" i="1"/>
  <c r="EE142" i="1"/>
  <c r="BY56" i="1"/>
  <c r="BZ56" i="1" s="1"/>
  <c r="CA56" i="1" s="1"/>
  <c r="BX56" i="1"/>
  <c r="J205" i="1"/>
  <c r="P207" i="1"/>
  <c r="J204" i="1"/>
  <c r="D205" i="1"/>
  <c r="D202" i="1"/>
  <c r="L203" i="1"/>
  <c r="L204" i="1"/>
  <c r="L200" i="1"/>
  <c r="L206" i="1"/>
  <c r="L202" i="1"/>
  <c r="L205" i="1"/>
  <c r="GC125" i="1"/>
  <c r="EW54" i="1"/>
  <c r="EE112" i="1"/>
  <c r="HG112" i="1" s="1"/>
  <c r="HH112" i="1" s="1"/>
  <c r="EL112" i="1"/>
  <c r="EN112" i="1" s="1"/>
  <c r="EP112" i="1" s="1"/>
  <c r="DC112" i="1"/>
  <c r="FI112" i="1"/>
  <c r="ED112" i="1"/>
  <c r="GZ29" i="1"/>
  <c r="GC29" i="1"/>
  <c r="GD29" i="1"/>
  <c r="GA29" i="1"/>
  <c r="HF29" i="1"/>
  <c r="HG29" i="1" s="1"/>
  <c r="HH29" i="1" s="1"/>
  <c r="GO29" i="1"/>
  <c r="EW29" i="1"/>
  <c r="HE29" i="1"/>
  <c r="GO2" i="1"/>
  <c r="GA2" i="1"/>
  <c r="GZ2" i="1"/>
  <c r="HF2" i="1"/>
  <c r="HG2" i="1" s="1"/>
  <c r="GC2" i="1"/>
  <c r="GZ114" i="1"/>
  <c r="GA114" i="1"/>
  <c r="GC114" i="1"/>
  <c r="GO114" i="1"/>
  <c r="GD114" i="1"/>
  <c r="EW114" i="1"/>
  <c r="HE114" i="1"/>
  <c r="GZ38" i="1"/>
  <c r="HE38" i="1"/>
  <c r="GD38" i="1"/>
  <c r="GA38" i="1"/>
  <c r="GO38" i="1"/>
  <c r="GC38" i="1"/>
  <c r="HF38" i="1"/>
  <c r="HG38" i="1" s="1"/>
  <c r="EW38" i="1"/>
  <c r="EW125" i="1"/>
  <c r="GC54" i="1"/>
  <c r="GD125" i="1"/>
  <c r="T108" i="1"/>
  <c r="Y108" i="1"/>
  <c r="S108" i="1"/>
  <c r="W108" i="1"/>
  <c r="DC93" i="1"/>
  <c r="ED93" i="1"/>
  <c r="FI93" i="1"/>
  <c r="EE93" i="1"/>
  <c r="EL93" i="1"/>
  <c r="F203" i="1"/>
  <c r="F205" i="1"/>
  <c r="F206" i="1"/>
  <c r="F200" i="1"/>
  <c r="GA36" i="1"/>
  <c r="HE36" i="1"/>
  <c r="GD36" i="1"/>
  <c r="EW36" i="1"/>
  <c r="GZ36" i="1"/>
  <c r="HF36" i="1"/>
  <c r="HG36" i="1" s="1"/>
  <c r="HH36" i="1" s="1"/>
  <c r="GC36" i="1"/>
  <c r="GO36" i="1"/>
  <c r="F202" i="1"/>
  <c r="GC112" i="1"/>
  <c r="EW112" i="1"/>
  <c r="HE112" i="1"/>
  <c r="HF112" i="1"/>
  <c r="GO112" i="1"/>
  <c r="GZ112" i="1"/>
  <c r="GA112" i="1"/>
  <c r="GD112" i="1"/>
  <c r="J202" i="1"/>
  <c r="J206" i="1"/>
  <c r="J203" i="1"/>
  <c r="J201" i="1"/>
  <c r="F201" i="1"/>
  <c r="HE54" i="1"/>
  <c r="GD54" i="1"/>
  <c r="BX55" i="1"/>
  <c r="EN55" i="1"/>
  <c r="EP55" i="1" s="1"/>
  <c r="HF54" i="1"/>
  <c r="HG54" i="1" s="1"/>
  <c r="EL138" i="1"/>
  <c r="ED138" i="1"/>
  <c r="FI138" i="1"/>
  <c r="DC138" i="1"/>
  <c r="EE138" i="1"/>
  <c r="EI138" i="1"/>
  <c r="GO54" i="1"/>
  <c r="GO138" i="1"/>
  <c r="HF138" i="1"/>
  <c r="GZ138" i="1"/>
  <c r="GC138" i="1"/>
  <c r="GA138" i="1"/>
  <c r="HE138" i="1"/>
  <c r="EW138" i="1"/>
  <c r="GS154" i="1"/>
  <c r="N204" i="1"/>
  <c r="N205" i="1"/>
  <c r="N203" i="1"/>
  <c r="N206" i="1"/>
  <c r="N202" i="1"/>
  <c r="N200" i="1"/>
  <c r="N201" i="1"/>
  <c r="GO24" i="1"/>
  <c r="HF24" i="1"/>
  <c r="HG24" i="1" s="1"/>
  <c r="HH24" i="1" s="1"/>
  <c r="GZ24" i="1"/>
  <c r="GA24" i="1"/>
  <c r="GD24" i="1"/>
  <c r="HE24" i="1"/>
  <c r="GC24" i="1"/>
  <c r="HE3" i="1"/>
  <c r="HF3" i="1"/>
  <c r="HG3" i="1" s="1"/>
  <c r="GA3" i="1"/>
  <c r="EW3" i="1"/>
  <c r="GO3" i="1"/>
  <c r="GC3" i="1"/>
  <c r="HF43" i="1"/>
  <c r="HG43" i="1" s="1"/>
  <c r="HH43" i="1" s="1"/>
  <c r="GC43" i="1"/>
  <c r="EW43" i="1"/>
  <c r="GD43" i="1"/>
  <c r="GA43" i="1"/>
  <c r="HE43" i="1"/>
  <c r="GO43" i="1"/>
  <c r="FY157" i="1"/>
  <c r="DC83" i="1"/>
  <c r="FI83" i="1"/>
  <c r="EL83" i="1"/>
  <c r="EN83" i="1" s="1"/>
  <c r="EP83" i="1" s="1"/>
  <c r="EI83" i="1"/>
  <c r="ED83" i="1"/>
  <c r="EE83" i="1"/>
  <c r="HG83" i="1" s="1"/>
  <c r="HH83" i="1" s="1"/>
  <c r="GO70" i="1"/>
  <c r="EW70" i="1"/>
  <c r="GC70" i="1"/>
  <c r="HF70" i="1"/>
  <c r="GA70" i="1"/>
  <c r="GD70" i="1"/>
  <c r="GZ70" i="1"/>
  <c r="HE70" i="1"/>
  <c r="GO6" i="1"/>
  <c r="GD6" i="1"/>
  <c r="GA6" i="1"/>
  <c r="HE6" i="1"/>
  <c r="HF6" i="1"/>
  <c r="HG6" i="1" s="1"/>
  <c r="EW6" i="1"/>
  <c r="GZ6" i="1"/>
  <c r="GC6" i="1"/>
  <c r="E184" i="1"/>
  <c r="Q202" i="1"/>
  <c r="FI123" i="1"/>
  <c r="DC123" i="1"/>
  <c r="EL123" i="1"/>
  <c r="EI123" i="1"/>
  <c r="EE123" i="1"/>
  <c r="HG123" i="1" s="1"/>
  <c r="HH123" i="1" s="1"/>
  <c r="ED123" i="1"/>
  <c r="EL136" i="1"/>
  <c r="EN136" i="1" s="1"/>
  <c r="EP136" i="1" s="1"/>
  <c r="FI136" i="1"/>
  <c r="ED136" i="1"/>
  <c r="EE136" i="1"/>
  <c r="EI136" i="1"/>
  <c r="DC136" i="1"/>
  <c r="FA159" i="1"/>
  <c r="AF158" i="1"/>
  <c r="GK157" i="1"/>
  <c r="AH158" i="1"/>
  <c r="FA160" i="1"/>
  <c r="GG157" i="1"/>
  <c r="GT157" i="1"/>
  <c r="AI158" i="1"/>
  <c r="FA158" i="1"/>
  <c r="AG158" i="1"/>
  <c r="BY105" i="1"/>
  <c r="BZ105" i="1" s="1"/>
  <c r="CA105" i="1" s="1"/>
  <c r="BX105" i="1"/>
  <c r="EN103" i="1"/>
  <c r="EP103" i="1" s="1"/>
  <c r="BY110" i="1"/>
  <c r="BZ110" i="1" s="1"/>
  <c r="CA110" i="1" s="1"/>
  <c r="BX110" i="1"/>
  <c r="BY103" i="1"/>
  <c r="BZ103" i="1" s="1"/>
  <c r="EN110" i="1"/>
  <c r="EP110" i="1" s="1"/>
  <c r="BE155" i="1"/>
  <c r="GA4" i="1"/>
  <c r="GD4" i="1"/>
  <c r="GO4" i="1"/>
  <c r="GZ4" i="1"/>
  <c r="GC4" i="1"/>
  <c r="HF4" i="1"/>
  <c r="HG4" i="1" s="1"/>
  <c r="EW4" i="1"/>
  <c r="HE4" i="1"/>
  <c r="GS157" i="1"/>
  <c r="T111" i="1"/>
  <c r="W111" i="1"/>
  <c r="Y111" i="1"/>
  <c r="BZ111" i="1"/>
  <c r="ED116" i="1"/>
  <c r="DC116" i="1"/>
  <c r="EL116" i="1"/>
  <c r="EI116" i="1"/>
  <c r="EE116" i="1"/>
  <c r="HG116" i="1" s="1"/>
  <c r="HH116" i="1" s="1"/>
  <c r="FI116" i="1"/>
  <c r="H184" i="1"/>
  <c r="Q205" i="1"/>
  <c r="S111" i="1"/>
  <c r="DC122" i="1"/>
  <c r="EL122" i="1"/>
  <c r="EI122" i="1"/>
  <c r="EE122" i="1"/>
  <c r="ED122" i="1"/>
  <c r="FI122" i="1"/>
  <c r="BY117" i="1"/>
  <c r="BZ117" i="1" s="1"/>
  <c r="CA117" i="1" s="1"/>
  <c r="BX117" i="1"/>
  <c r="EN117" i="1"/>
  <c r="EP117" i="1" s="1"/>
  <c r="GT154" i="1"/>
  <c r="GA122" i="1"/>
  <c r="HF122" i="1"/>
  <c r="EW122" i="1"/>
  <c r="GZ122" i="1"/>
  <c r="GC122" i="1"/>
  <c r="GO122" i="1"/>
  <c r="HE122" i="1"/>
  <c r="GD122" i="1"/>
  <c r="GC53" i="1"/>
  <c r="GD53" i="1"/>
  <c r="GA53" i="1"/>
  <c r="GO53" i="1"/>
  <c r="EW53" i="1"/>
  <c r="BX111" i="1"/>
  <c r="EN111" i="1"/>
  <c r="BY97" i="1"/>
  <c r="BZ97" i="1" s="1"/>
  <c r="CA97" i="1" s="1"/>
  <c r="EN97" i="1"/>
  <c r="EP97" i="1" s="1"/>
  <c r="BX97" i="1"/>
  <c r="AE157" i="1"/>
  <c r="I161" i="1"/>
  <c r="C184" i="1"/>
  <c r="B182" i="1"/>
  <c r="F184" i="1"/>
  <c r="Q203" i="1"/>
  <c r="Q201" i="1"/>
  <c r="GA117" i="1"/>
  <c r="EW117" i="1"/>
  <c r="GD117" i="1"/>
  <c r="GZ117" i="1"/>
  <c r="HF117" i="1"/>
  <c r="HG117" i="1" s="1"/>
  <c r="HH117" i="1" s="1"/>
  <c r="HE117" i="1"/>
  <c r="GC117" i="1"/>
  <c r="GO117" i="1"/>
  <c r="FZ157" i="1"/>
  <c r="FZ154" i="1"/>
  <c r="I184" i="1"/>
  <c r="Q206" i="1"/>
  <c r="EN107" i="1"/>
  <c r="EP107" i="1" s="1"/>
  <c r="BX107" i="1"/>
  <c r="BY107" i="1"/>
  <c r="BZ107" i="1" s="1"/>
  <c r="CA107" i="1" s="1"/>
  <c r="AM157" i="1"/>
  <c r="G184" i="1"/>
  <c r="Q204" i="1"/>
  <c r="Q200" i="1"/>
  <c r="BX147" i="1" l="1"/>
  <c r="BX101" i="1"/>
  <c r="EN147" i="1"/>
  <c r="EP147" i="1" s="1"/>
  <c r="BY101" i="1"/>
  <c r="BZ101" i="1" s="1"/>
  <c r="CA101" i="1" s="1"/>
  <c r="GB157" i="1"/>
  <c r="HG102" i="1"/>
  <c r="HH102" i="1" s="1"/>
  <c r="HG135" i="1"/>
  <c r="HH135" i="1" s="1"/>
  <c r="GY157" i="1"/>
  <c r="EN133" i="1"/>
  <c r="EP133" i="1" s="1"/>
  <c r="HG149" i="1"/>
  <c r="HH149" i="1" s="1"/>
  <c r="HG93" i="1"/>
  <c r="HH93" i="1" s="1"/>
  <c r="EN140" i="1"/>
  <c r="EP140" i="1" s="1"/>
  <c r="HG147" i="1"/>
  <c r="HH147" i="1" s="1"/>
  <c r="HG144" i="1"/>
  <c r="HH144" i="1" s="1"/>
  <c r="BY140" i="1"/>
  <c r="BZ140" i="1" s="1"/>
  <c r="CA140" i="1" s="1"/>
  <c r="CA103" i="1"/>
  <c r="BZ161" i="1"/>
  <c r="EN69" i="1"/>
  <c r="EP69" i="1" s="1"/>
  <c r="BX69" i="1"/>
  <c r="BY69" i="1"/>
  <c r="BZ69" i="1" s="1"/>
  <c r="CA69" i="1" s="1"/>
  <c r="BY74" i="1"/>
  <c r="BZ74" i="1" s="1"/>
  <c r="CA74" i="1" s="1"/>
  <c r="BX74" i="1"/>
  <c r="EN74" i="1"/>
  <c r="EP74" i="1" s="1"/>
  <c r="HG142" i="1"/>
  <c r="HH142" i="1" s="1"/>
  <c r="HG75" i="1"/>
  <c r="HH75" i="1" s="1"/>
  <c r="HG57" i="1"/>
  <c r="BY133" i="1"/>
  <c r="BZ133" i="1" s="1"/>
  <c r="CA133" i="1" s="1"/>
  <c r="HG136" i="1"/>
  <c r="HH136" i="1" s="1"/>
  <c r="Q207" i="1"/>
  <c r="HG118" i="1"/>
  <c r="HH118" i="1" s="1"/>
  <c r="HG126" i="1"/>
  <c r="HH126" i="1" s="1"/>
  <c r="HG138" i="1"/>
  <c r="HH138" i="1" s="1"/>
  <c r="HG91" i="1"/>
  <c r="HH91" i="1" s="1"/>
  <c r="HG69" i="1"/>
  <c r="HH69" i="1" s="1"/>
  <c r="HG139" i="1"/>
  <c r="HH139" i="1" s="1"/>
  <c r="HG73" i="1"/>
  <c r="HH73" i="1" s="1"/>
  <c r="HG140" i="1"/>
  <c r="HH140" i="1" s="1"/>
  <c r="HG122" i="1"/>
  <c r="HH122" i="1" s="1"/>
  <c r="HG151" i="1"/>
  <c r="HH151" i="1" s="1"/>
  <c r="HG70" i="1"/>
  <c r="HH70" i="1" s="1"/>
  <c r="HK27" i="1"/>
  <c r="BY76" i="1"/>
  <c r="BZ76" i="1" s="1"/>
  <c r="CA76" i="1" s="1"/>
  <c r="BY118" i="1"/>
  <c r="BZ118" i="1" s="1"/>
  <c r="CA118" i="1" s="1"/>
  <c r="EN76" i="1"/>
  <c r="EP76" i="1" s="1"/>
  <c r="BX109" i="1"/>
  <c r="EN109" i="1"/>
  <c r="EP109" i="1" s="1"/>
  <c r="BY141" i="1"/>
  <c r="BZ141" i="1" s="1"/>
  <c r="CA141" i="1" s="1"/>
  <c r="EN118" i="1"/>
  <c r="EP118" i="1" s="1"/>
  <c r="BY73" i="1"/>
  <c r="BZ73" i="1" s="1"/>
  <c r="CA73" i="1" s="1"/>
  <c r="BX73" i="1"/>
  <c r="EN73" i="1"/>
  <c r="EP73" i="1" s="1"/>
  <c r="EW157" i="1"/>
  <c r="DU90" i="1"/>
  <c r="DV90" i="1"/>
  <c r="DX90" i="1" s="1"/>
  <c r="EN141" i="1"/>
  <c r="EP141" i="1" s="1"/>
  <c r="BX102" i="1"/>
  <c r="BY102" i="1"/>
  <c r="BZ102" i="1" s="1"/>
  <c r="CA102" i="1" s="1"/>
  <c r="EN102" i="1"/>
  <c r="EP102" i="1" s="1"/>
  <c r="GA157" i="1"/>
  <c r="HF157" i="1"/>
  <c r="HX3" i="1"/>
  <c r="GZ157" i="1"/>
  <c r="HX2" i="1"/>
  <c r="GZ154" i="1"/>
  <c r="HX4" i="1"/>
  <c r="BX94" i="1"/>
  <c r="BY94" i="1"/>
  <c r="BZ94" i="1" s="1"/>
  <c r="CA94" i="1" s="1"/>
  <c r="BY139" i="1"/>
  <c r="BZ139" i="1" s="1"/>
  <c r="CA139" i="1" s="1"/>
  <c r="BX139" i="1"/>
  <c r="EN139" i="1"/>
  <c r="EP139" i="1" s="1"/>
  <c r="BX144" i="1"/>
  <c r="BY144" i="1"/>
  <c r="BZ144" i="1" s="1"/>
  <c r="CA144" i="1" s="1"/>
  <c r="EN144" i="1"/>
  <c r="EP144" i="1" s="1"/>
  <c r="EN94" i="1"/>
  <c r="EP94" i="1" s="1"/>
  <c r="EN152" i="1"/>
  <c r="EP152" i="1" s="1"/>
  <c r="BY152" i="1"/>
  <c r="BZ152" i="1" s="1"/>
  <c r="CA152" i="1" s="1"/>
  <c r="BX152" i="1"/>
  <c r="BX78" i="1"/>
  <c r="BY78" i="1"/>
  <c r="BZ78" i="1" s="1"/>
  <c r="CA78" i="1" s="1"/>
  <c r="BY91" i="1"/>
  <c r="BZ91" i="1" s="1"/>
  <c r="CA91" i="1" s="1"/>
  <c r="EN91" i="1"/>
  <c r="BX91" i="1"/>
  <c r="BX149" i="1"/>
  <c r="BY149" i="1"/>
  <c r="BZ149" i="1" s="1"/>
  <c r="CA149" i="1" s="1"/>
  <c r="BX57" i="1"/>
  <c r="BY57" i="1"/>
  <c r="BZ57" i="1" s="1"/>
  <c r="CA57" i="1" s="1"/>
  <c r="BY114" i="1"/>
  <c r="BZ114" i="1" s="1"/>
  <c r="CA114" i="1" s="1"/>
  <c r="BX114" i="1"/>
  <c r="BY151" i="1"/>
  <c r="BZ151" i="1" s="1"/>
  <c r="CA151" i="1" s="1"/>
  <c r="BX151" i="1"/>
  <c r="BX75" i="1"/>
  <c r="BY75" i="1"/>
  <c r="BZ75" i="1" s="1"/>
  <c r="CA75" i="1" s="1"/>
  <c r="EN151" i="1"/>
  <c r="EP151" i="1" s="1"/>
  <c r="BX70" i="1"/>
  <c r="EN70" i="1"/>
  <c r="EP70" i="1" s="1"/>
  <c r="BY70" i="1"/>
  <c r="BZ70" i="1" s="1"/>
  <c r="CA70" i="1" s="1"/>
  <c r="EN114" i="1"/>
  <c r="EN75" i="1"/>
  <c r="BY142" i="1"/>
  <c r="BZ142" i="1" s="1"/>
  <c r="CA142" i="1" s="1"/>
  <c r="BX142" i="1"/>
  <c r="EN142" i="1"/>
  <c r="EP142" i="1" s="1"/>
  <c r="L207" i="1"/>
  <c r="D207" i="1"/>
  <c r="BY93" i="1"/>
  <c r="BZ93" i="1" s="1"/>
  <c r="CA93" i="1" s="1"/>
  <c r="EN93" i="1"/>
  <c r="BX93" i="1"/>
  <c r="J207" i="1"/>
  <c r="BY112" i="1"/>
  <c r="BZ112" i="1" s="1"/>
  <c r="CA112" i="1" s="1"/>
  <c r="BX112" i="1"/>
  <c r="GD157" i="1"/>
  <c r="F207" i="1"/>
  <c r="EN138" i="1"/>
  <c r="EP138" i="1" s="1"/>
  <c r="BX138" i="1"/>
  <c r="BY138" i="1"/>
  <c r="BZ138" i="1" s="1"/>
  <c r="CA138" i="1" s="1"/>
  <c r="GC157" i="1"/>
  <c r="N207" i="1"/>
  <c r="ED157" i="1"/>
  <c r="BX136" i="1"/>
  <c r="BY136" i="1"/>
  <c r="BZ136" i="1" s="1"/>
  <c r="CA136" i="1" s="1"/>
  <c r="EN123" i="1"/>
  <c r="EP123" i="1" s="1"/>
  <c r="BX123" i="1"/>
  <c r="BY123" i="1"/>
  <c r="BZ123" i="1" s="1"/>
  <c r="CA123" i="1" s="1"/>
  <c r="GO157" i="1"/>
  <c r="GO154" i="1"/>
  <c r="B184" i="1"/>
  <c r="EP111" i="1"/>
  <c r="BX122" i="1"/>
  <c r="BY122" i="1"/>
  <c r="BZ122" i="1" s="1"/>
  <c r="CA122" i="1" s="1"/>
  <c r="EN122" i="1"/>
  <c r="EP122" i="1" s="1"/>
  <c r="HE157" i="1"/>
  <c r="FZ160" i="1"/>
  <c r="BY116" i="1"/>
  <c r="BZ116" i="1" s="1"/>
  <c r="CA116" i="1" s="1"/>
  <c r="BX116" i="1"/>
  <c r="EN116" i="1"/>
  <c r="EP116" i="1" s="1"/>
  <c r="CA111" i="1"/>
  <c r="HG157" i="1" l="1"/>
  <c r="HH157" i="1" s="1"/>
  <c r="EP91" i="1"/>
  <c r="EP75" i="1"/>
  <c r="EP114" i="1"/>
  <c r="EP93" i="1"/>
  <c r="BZ157" i="1"/>
  <c r="BX157" i="1"/>
  <c r="EN157" i="1"/>
  <c r="BY157" i="1"/>
  <c r="EP157" i="1" l="1"/>
  <c r="HI30" i="1" l="1"/>
  <c r="HI157" i="1" s="1"/>
  <c r="HK157" i="1" s="1"/>
  <c r="HJ30" i="1" l="1"/>
  <c r="HJ157" i="1" s="1"/>
  <c r="HK30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Nathalie BLANDINO</author>
  </authors>
  <commentList>
    <comment ref="GL22" authorId="0" shapeId="0" xr:uid="{00000000-0006-0000-0200-000001000000}">
      <text>
        <r>
          <rPr>
            <b/>
            <sz val="9"/>
            <color indexed="81"/>
            <rFont val="Tahoma"/>
            <family val="2"/>
          </rPr>
          <t>Nathalie BLANDINO: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V40" authorId="0" shapeId="0" xr:uid="{00000000-0006-0000-0200-000002000000}">
      <text>
        <r>
          <rPr>
            <b/>
            <sz val="9"/>
            <color indexed="81"/>
            <rFont val="Tahoma"/>
            <family val="2"/>
          </rPr>
          <t>Nathalie BLANDINO:</t>
        </r>
        <r>
          <rPr>
            <sz val="9"/>
            <color indexed="81"/>
            <rFont val="Tahoma"/>
            <family val="2"/>
          </rPr>
          <t xml:space="preserve">
hors assainissement</t>
        </r>
      </text>
    </comment>
    <comment ref="DT43" authorId="0" shapeId="0" xr:uid="{00000000-0006-0000-0200-000003000000}">
      <text>
        <r>
          <rPr>
            <b/>
            <sz val="9"/>
            <color indexed="81"/>
            <rFont val="Tahoma"/>
            <family val="2"/>
          </rPr>
          <t>Nathalie BLANDINO:</t>
        </r>
        <r>
          <rPr>
            <sz val="9"/>
            <color indexed="81"/>
            <rFont val="Tahoma"/>
            <family val="2"/>
          </rPr>
          <t xml:space="preserve">
AF 19/10/17</t>
        </r>
      </text>
    </comment>
    <comment ref="HC88" authorId="0" shapeId="0" xr:uid="{00000000-0006-0000-0200-000007000000}">
      <text>
        <r>
          <rPr>
            <b/>
            <sz val="9"/>
            <color indexed="81"/>
            <rFont val="Tahoma"/>
            <family val="2"/>
          </rPr>
          <t>Nathalie BLANDINO:</t>
        </r>
        <r>
          <rPr>
            <sz val="9"/>
            <color indexed="81"/>
            <rFont val="Tahoma"/>
            <family val="2"/>
          </rPr>
          <t xml:space="preserve">
280712</t>
        </r>
      </text>
    </comment>
    <comment ref="AK89" authorId="0" shapeId="0" xr:uid="{00000000-0006-0000-0200-000004000000}">
      <text>
        <r>
          <rPr>
            <b/>
            <sz val="9"/>
            <color indexed="81"/>
            <rFont val="Tahoma"/>
            <family val="2"/>
          </rPr>
          <t>Nathalie BLANDINO:</t>
        </r>
        <r>
          <rPr>
            <sz val="9"/>
            <color indexed="81"/>
            <rFont val="Tahoma"/>
            <family val="2"/>
          </rPr>
          <t xml:space="preserve">
2433,5 arrêté</t>
        </r>
      </text>
    </comment>
    <comment ref="DM89" authorId="0" shapeId="0" xr:uid="{00000000-0006-0000-0200-000005000000}">
      <text>
        <r>
          <rPr>
            <b/>
            <sz val="9"/>
            <color indexed="81"/>
            <rFont val="Tahoma"/>
            <family val="2"/>
          </rPr>
          <t>Nathalie BLANDINO:</t>
        </r>
        <r>
          <rPr>
            <sz val="9"/>
            <color indexed="81"/>
            <rFont val="Tahoma"/>
            <family val="2"/>
          </rPr>
          <t xml:space="preserve">
y/c fondations</t>
        </r>
      </text>
    </comment>
    <comment ref="CK91" authorId="0" shapeId="0" xr:uid="{00000000-0006-0000-0200-000006000000}">
      <text>
        <r>
          <rPr>
            <b/>
            <sz val="9"/>
            <color indexed="81"/>
            <rFont val="Tahoma"/>
            <family val="2"/>
          </rPr>
          <t>Nathalie BLANDINO:</t>
        </r>
        <r>
          <rPr>
            <sz val="9"/>
            <color indexed="81"/>
            <rFont val="Tahoma"/>
            <family val="2"/>
          </rPr>
          <t xml:space="preserve">
16/12/16</t>
        </r>
      </text>
    </comment>
  </commentList>
</comments>
</file>

<file path=xl/sharedStrings.xml><?xml version="1.0" encoding="utf-8"?>
<sst xmlns="http://schemas.openxmlformats.org/spreadsheetml/2006/main" count="2376" uniqueCount="935">
  <si>
    <t>OPERATION</t>
  </si>
  <si>
    <t>COMMUNE</t>
  </si>
  <si>
    <t>CODE</t>
  </si>
  <si>
    <t>N</t>
  </si>
  <si>
    <t>Arrêté LBU</t>
  </si>
  <si>
    <t>CAO</t>
  </si>
  <si>
    <t>RO</t>
  </si>
  <si>
    <t>Notaire Terrain</t>
  </si>
  <si>
    <t>Signature Acte</t>
  </si>
  <si>
    <t>LLS</t>
  </si>
  <si>
    <t>LLTS</t>
  </si>
  <si>
    <t>FONCIER</t>
  </si>
  <si>
    <t>CONSTRUCTION</t>
  </si>
  <si>
    <t xml:space="preserve">Manapany </t>
  </si>
  <si>
    <t>St Joseph</t>
  </si>
  <si>
    <t>PRLC 0111</t>
  </si>
  <si>
    <t>FHO</t>
  </si>
  <si>
    <t>St Philippe</t>
  </si>
  <si>
    <t>PRLC 0093</t>
  </si>
  <si>
    <t>Takamaka</t>
  </si>
  <si>
    <t>St Leu</t>
  </si>
  <si>
    <t>Tampon</t>
  </si>
  <si>
    <t>PRLC 0139</t>
  </si>
  <si>
    <t>FMA</t>
  </si>
  <si>
    <t>PRLC 0147</t>
  </si>
  <si>
    <t>Etang-Salé</t>
  </si>
  <si>
    <t>Trois Bassins</t>
  </si>
  <si>
    <t>PRLC 0149</t>
  </si>
  <si>
    <t>Palissandre</t>
  </si>
  <si>
    <t>PRLC 0110</t>
  </si>
  <si>
    <t>Rue de l'Eglise</t>
  </si>
  <si>
    <t>Entre-Deux</t>
  </si>
  <si>
    <t>PRLC 0148</t>
  </si>
  <si>
    <t>St Paul</t>
  </si>
  <si>
    <t>PRLC 0140</t>
  </si>
  <si>
    <t>PRLC 0113</t>
  </si>
  <si>
    <t>PRLC 0121</t>
  </si>
  <si>
    <t>Josepha Fontaine</t>
  </si>
  <si>
    <t>PRLC 0122</t>
  </si>
  <si>
    <t>PRLC 0109</t>
  </si>
  <si>
    <t>YFR</t>
  </si>
  <si>
    <t>LBU</t>
  </si>
  <si>
    <t>Propriétaire</t>
  </si>
  <si>
    <t>EPFR</t>
  </si>
  <si>
    <t>SODEGIS</t>
  </si>
  <si>
    <t>Commune</t>
  </si>
  <si>
    <t>Pivet-Velin</t>
  </si>
  <si>
    <t>Commune / MOREL</t>
  </si>
  <si>
    <t>AUBERT</t>
  </si>
  <si>
    <t>EPFR / RUET</t>
  </si>
  <si>
    <t>BARET</t>
  </si>
  <si>
    <t>POPINEAU</t>
  </si>
  <si>
    <t>LE GOFF</t>
  </si>
  <si>
    <t>PRP /m² SF</t>
  </si>
  <si>
    <t>Prog</t>
  </si>
  <si>
    <t>Desiré 2</t>
  </si>
  <si>
    <t xml:space="preserve">Sceau de Salomon </t>
  </si>
  <si>
    <t>Le Cap (BH 228)</t>
  </si>
  <si>
    <t xml:space="preserve">Laurency </t>
  </si>
  <si>
    <t>Petite-Ile</t>
  </si>
  <si>
    <t>PRLC 0116</t>
  </si>
  <si>
    <t>PRLC 0133</t>
  </si>
  <si>
    <t>PRLC 0114</t>
  </si>
  <si>
    <t>PRLC 0090</t>
  </si>
  <si>
    <t>PRLC 0128</t>
  </si>
  <si>
    <t>PRLC 0107</t>
  </si>
  <si>
    <t>PRLC 0117</t>
  </si>
  <si>
    <t>PRLC 0104</t>
  </si>
  <si>
    <t>PRLC 0135</t>
  </si>
  <si>
    <t>PRLC 0101</t>
  </si>
  <si>
    <t>PRLC 0138</t>
  </si>
  <si>
    <t>SGM</t>
  </si>
  <si>
    <t>Poker d'As LLS</t>
  </si>
  <si>
    <t>Poker d'As LLTS</t>
  </si>
  <si>
    <t>Étiquettes de lignes</t>
  </si>
  <si>
    <t>Total général</t>
  </si>
  <si>
    <t>Somme de N</t>
  </si>
  <si>
    <t xml:space="preserve">PRÊT </t>
  </si>
  <si>
    <t xml:space="preserve">LBU / lgt
</t>
  </si>
  <si>
    <t xml:space="preserve">Lavoir </t>
  </si>
  <si>
    <t>St Pierre</t>
  </si>
  <si>
    <t>PRLC 0105</t>
  </si>
  <si>
    <t>PRLC 0100</t>
  </si>
  <si>
    <t>PRLC 0123</t>
  </si>
  <si>
    <t>PRLC 0094</t>
  </si>
  <si>
    <t>PRLC 0124</t>
  </si>
  <si>
    <t>NBL</t>
  </si>
  <si>
    <t xml:space="preserve">P'titCanal  LLS       </t>
  </si>
  <si>
    <t>P'titCanal         LLTS</t>
  </si>
  <si>
    <t>BASSIN</t>
  </si>
  <si>
    <t>CA SUD</t>
  </si>
  <si>
    <t>TCO</t>
  </si>
  <si>
    <t>CIVIS</t>
  </si>
  <si>
    <t>TOTAL</t>
  </si>
  <si>
    <t>Altitude</t>
  </si>
  <si>
    <t>Pente</t>
  </si>
  <si>
    <t>SF / lgt</t>
  </si>
  <si>
    <t>Pkgs couverts</t>
  </si>
  <si>
    <t>oui</t>
  </si>
  <si>
    <t>non</t>
  </si>
  <si>
    <t>FRAFU</t>
  </si>
  <si>
    <t>AIDES ETAT / lgt</t>
  </si>
  <si>
    <t>TYPE</t>
  </si>
  <si>
    <t>SF priorisée</t>
  </si>
  <si>
    <t>Dubois</t>
  </si>
  <si>
    <t>ok</t>
  </si>
  <si>
    <t>PRP / lgt</t>
  </si>
  <si>
    <t>DEFISC / lgt</t>
  </si>
  <si>
    <t>PRÊT / lgt</t>
  </si>
  <si>
    <t>SUBVENTION COLLECTIVITE FRAFU</t>
  </si>
  <si>
    <t>FONDS PROPRES FRAFU</t>
  </si>
  <si>
    <t>AIDES PUBLIQUES / lgt</t>
  </si>
  <si>
    <t>QUINOT</t>
  </si>
  <si>
    <t>FONDS PROPRES CONSTRUCTION</t>
  </si>
  <si>
    <t>FANFAN</t>
  </si>
  <si>
    <t>DUBOIS</t>
  </si>
  <si>
    <t>BARET/GILLOT</t>
  </si>
  <si>
    <t>BBL</t>
  </si>
  <si>
    <t>MAREL</t>
  </si>
  <si>
    <t>Dde édition prêt</t>
  </si>
  <si>
    <t>JULES VIENNE</t>
  </si>
  <si>
    <t>DESIRE</t>
  </si>
  <si>
    <t>PRLC 0099</t>
  </si>
  <si>
    <t>PRP FRAFU hors TVA résiduelle</t>
  </si>
  <si>
    <t>PRLC 0098</t>
  </si>
  <si>
    <t>S espaces verts collectifs</t>
  </si>
  <si>
    <t>AUTRES SUBVENTIONS</t>
  </si>
  <si>
    <t>PRLC 0160</t>
  </si>
  <si>
    <t>PRLC 0156</t>
  </si>
  <si>
    <t>St Louis</t>
  </si>
  <si>
    <t>PRLC 0153</t>
  </si>
  <si>
    <t>PRLC 0155</t>
  </si>
  <si>
    <t>% LBU / PRP</t>
  </si>
  <si>
    <t>SO</t>
  </si>
  <si>
    <t>CESSION FONCIERE</t>
  </si>
  <si>
    <t>Contrat de prêt</t>
  </si>
  <si>
    <t xml:space="preserve"> </t>
  </si>
  <si>
    <t>GPA</t>
  </si>
  <si>
    <t>Tvx</t>
  </si>
  <si>
    <t>APD</t>
  </si>
  <si>
    <t>AO</t>
  </si>
  <si>
    <t>SRI</t>
  </si>
  <si>
    <t>NLE</t>
  </si>
  <si>
    <t>DBE</t>
  </si>
  <si>
    <t>% AIDES PUBLIQUES</t>
  </si>
  <si>
    <t xml:space="preserve">PRP TTC  </t>
  </si>
  <si>
    <t>ZONAGE</t>
  </si>
  <si>
    <t>UB</t>
  </si>
  <si>
    <t>S TERRAIN</t>
  </si>
  <si>
    <t>S ANC</t>
  </si>
  <si>
    <t>S EMPRISE</t>
  </si>
  <si>
    <t>N niveaux lgt y/c RDC</t>
  </si>
  <si>
    <t>UD</t>
  </si>
  <si>
    <t>UA</t>
  </si>
  <si>
    <t>4/5</t>
  </si>
  <si>
    <t>AU5b</t>
  </si>
  <si>
    <t>NAUD</t>
  </si>
  <si>
    <t>Aub</t>
  </si>
  <si>
    <t>PRLC 0161</t>
  </si>
  <si>
    <t>CAF</t>
  </si>
  <si>
    <t>ANC</t>
  </si>
  <si>
    <t xml:space="preserve">LBU </t>
  </si>
  <si>
    <t>PRIX m² SF</t>
  </si>
  <si>
    <t>UC</t>
  </si>
  <si>
    <t>UAa</t>
  </si>
  <si>
    <t>NAUC</t>
  </si>
  <si>
    <t>UCa</t>
  </si>
  <si>
    <t>U3</t>
  </si>
  <si>
    <t>NAU</t>
  </si>
  <si>
    <t>Emprise ANC</t>
  </si>
  <si>
    <t>PRIX TERRAIN AMENAGE</t>
  </si>
  <si>
    <t>PRIX TERRAIN BRUT</t>
  </si>
  <si>
    <t>PRIX m² terrain aménagé</t>
  </si>
  <si>
    <t>PRIX m² terrain brut</t>
  </si>
  <si>
    <t>T1</t>
  </si>
  <si>
    <t>T2</t>
  </si>
  <si>
    <t>T3</t>
  </si>
  <si>
    <t>T4</t>
  </si>
  <si>
    <t>T5</t>
  </si>
  <si>
    <t>M² TERRAIN / LGT</t>
  </si>
  <si>
    <t>LBU+Défisc/lgt</t>
  </si>
  <si>
    <r>
      <t xml:space="preserve">VEFA </t>
    </r>
    <r>
      <rPr>
        <b/>
        <sz val="11"/>
        <rFont val="Calibri"/>
        <family val="2"/>
        <scheme val="minor"/>
      </rPr>
      <t>Petunias</t>
    </r>
  </si>
  <si>
    <t>PRIX AMENAGE/ LGT</t>
  </si>
  <si>
    <t>PRLC 0166</t>
  </si>
  <si>
    <t>ESQ</t>
  </si>
  <si>
    <t>?</t>
  </si>
  <si>
    <t>DCE</t>
  </si>
  <si>
    <t>patrimoine</t>
  </si>
  <si>
    <t>PRLC 0129</t>
  </si>
  <si>
    <t>PRLC 0157</t>
  </si>
  <si>
    <t>PRLC 0173</t>
  </si>
  <si>
    <t>PRLC 0167</t>
  </si>
  <si>
    <t>PRLC 0174</t>
  </si>
  <si>
    <t>Travaux</t>
  </si>
  <si>
    <t>OS</t>
  </si>
  <si>
    <t>Avirons</t>
  </si>
  <si>
    <t>UB4</t>
  </si>
  <si>
    <t>Lacaussade 3</t>
  </si>
  <si>
    <t xml:space="preserve">PRIX BRUT / LGT </t>
  </si>
  <si>
    <t>Prosp</t>
  </si>
  <si>
    <t>Phase</t>
  </si>
  <si>
    <t>PRLC 0176</t>
  </si>
  <si>
    <t>Etat</t>
  </si>
  <si>
    <t>MOUTIEN</t>
  </si>
  <si>
    <t>Paille en Queue</t>
  </si>
  <si>
    <t>Verveine des Indes (Ilôt 5.1)</t>
  </si>
  <si>
    <t>FAHAM (Ilôt 5.6)</t>
  </si>
  <si>
    <t>Z'ambaville (AX 18)</t>
  </si>
  <si>
    <t>PRLC 0179</t>
  </si>
  <si>
    <t>OS démarrage</t>
  </si>
  <si>
    <t>Fin GPA</t>
  </si>
  <si>
    <t>RDV pré-clôture avec RO</t>
  </si>
  <si>
    <t>Transmission budget pré-clôture DAF</t>
  </si>
  <si>
    <t>RDV clôture avec RO</t>
  </si>
  <si>
    <t>Transmission budget DAF</t>
  </si>
  <si>
    <t>attente doc signé</t>
  </si>
  <si>
    <t>25/09/2014 : à détailler plus</t>
  </si>
  <si>
    <t>13/10/14 DPR</t>
  </si>
  <si>
    <t>14/10/14 DPR</t>
  </si>
  <si>
    <t>7/9/15 - correctifs à apporter</t>
  </si>
  <si>
    <t>Fleurs jaunes (Ilôt 6.1)</t>
  </si>
  <si>
    <t>Archi conseil DEAL</t>
  </si>
  <si>
    <t>Clôture DO</t>
  </si>
  <si>
    <t>DAT</t>
  </si>
  <si>
    <t>Avenant global</t>
  </si>
  <si>
    <t>PRLC 0181</t>
  </si>
  <si>
    <t>PRLC 0180</t>
  </si>
  <si>
    <t>Transmission à DAF</t>
  </si>
  <si>
    <t>17/02/2014
09/10/14</t>
  </si>
  <si>
    <t>en cours</t>
  </si>
  <si>
    <t>DGD</t>
  </si>
  <si>
    <t>à faire</t>
  </si>
  <si>
    <t>Transmission patrimoine</t>
  </si>
  <si>
    <t>Jules Arlandas (Alamandas)</t>
  </si>
  <si>
    <t>DOE</t>
  </si>
  <si>
    <t>x</t>
  </si>
  <si>
    <t>CONTRÔLE DEAL</t>
  </si>
  <si>
    <t>PARCELLE</t>
  </si>
  <si>
    <t>07/06/2012
06/11/15</t>
  </si>
  <si>
    <t>PRLC 0165</t>
  </si>
  <si>
    <t>RFCT</t>
  </si>
  <si>
    <t>AVANCEMENT</t>
  </si>
  <si>
    <t>ASSISTANTE</t>
  </si>
  <si>
    <t>Attestation conformité Mairie</t>
  </si>
  <si>
    <t>Loyer mensuel</t>
  </si>
  <si>
    <t>Transmission Fiche Pgr GL</t>
  </si>
  <si>
    <t>Tamariniers LLS</t>
  </si>
  <si>
    <t>Tamariniers LLTS</t>
  </si>
  <si>
    <t>Barrage LLTS</t>
  </si>
  <si>
    <t>Barrage LLS</t>
  </si>
  <si>
    <t>Délai chantier réel</t>
  </si>
  <si>
    <t>Délai chantier initial</t>
  </si>
  <si>
    <t>Perte loyer</t>
  </si>
  <si>
    <t>dossier transmis</t>
  </si>
  <si>
    <t xml:space="preserve">Les Platanes </t>
  </si>
  <si>
    <t>AS 603</t>
  </si>
  <si>
    <t>BO 206-352</t>
  </si>
  <si>
    <t>AO 433</t>
  </si>
  <si>
    <t>AH 449 à 451</t>
  </si>
  <si>
    <t>CD 61 Rue Bertaut LLTS</t>
  </si>
  <si>
    <t>LYCEE SCHOELCHER</t>
  </si>
  <si>
    <t>RHI BC</t>
  </si>
  <si>
    <t>17/11/2015
27/01/16
15/03/16</t>
  </si>
  <si>
    <t>07/12/2015
15/03/16</t>
  </si>
  <si>
    <t>BH 228</t>
  </si>
  <si>
    <t>CX 671 / 1141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</si>
  <si>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</si>
  <si>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Archivage</t>
  </si>
  <si>
    <t>acte signé</t>
  </si>
  <si>
    <t>convention paroi clouée OK / notaire doit rédiger une constitution de servitude</t>
  </si>
  <si>
    <t>FVA</t>
  </si>
  <si>
    <t>Jean MOREL (Amaryllis)</t>
  </si>
  <si>
    <t>Max GOBETTI (AUBEPINES)</t>
  </si>
  <si>
    <t>Lié ETHEVE (Poker As 2)</t>
  </si>
  <si>
    <t>Travaux / Expro</t>
  </si>
  <si>
    <t>Assistantes</t>
  </si>
  <si>
    <t xml:space="preserve">Travaux  </t>
  </si>
  <si>
    <t>Etude</t>
  </si>
  <si>
    <t>HONORAIRES</t>
  </si>
  <si>
    <t>Résiliations marchés</t>
  </si>
  <si>
    <t>CD 61 Rue Bertaut LLS</t>
  </si>
  <si>
    <t>Harry PAYET (Les Mimosas)</t>
  </si>
  <si>
    <t xml:space="preserve">Dakota </t>
  </si>
  <si>
    <t>EK 250</t>
  </si>
  <si>
    <t>Arizona</t>
  </si>
  <si>
    <t>Californie</t>
  </si>
  <si>
    <t>EK 286</t>
  </si>
  <si>
    <t>Faisa</t>
  </si>
  <si>
    <t>PRLC 0184</t>
  </si>
  <si>
    <t>PRLC 0185</t>
  </si>
  <si>
    <t>PRLC 0187</t>
  </si>
  <si>
    <t>PRLC 0186</t>
  </si>
  <si>
    <t>CAL</t>
  </si>
  <si>
    <t>ET 909 / 1256</t>
  </si>
  <si>
    <t>06/10/2016
renvoyé le 04/10/16 à CDC</t>
  </si>
  <si>
    <t>à déposer</t>
  </si>
  <si>
    <t>Coco Huet (Parc à Moutons)</t>
  </si>
  <si>
    <t>20/10/2016 y/c certif adressage + plans</t>
  </si>
  <si>
    <t>INDIGO LLS</t>
  </si>
  <si>
    <t>INDIGO LLTS</t>
  </si>
  <si>
    <t>DD783 / 1298</t>
  </si>
  <si>
    <t>PLS</t>
  </si>
  <si>
    <t>EN 1337 p</t>
  </si>
  <si>
    <t>BW 683 p</t>
  </si>
  <si>
    <t>La Possession</t>
  </si>
  <si>
    <t>CESARIA</t>
  </si>
  <si>
    <t>CI 192</t>
  </si>
  <si>
    <t>Bougainvillées</t>
  </si>
  <si>
    <t>Rehab</t>
  </si>
  <si>
    <t>JER</t>
  </si>
  <si>
    <t>BT 607</t>
  </si>
  <si>
    <t>BR 617</t>
  </si>
  <si>
    <t>Caramboles</t>
  </si>
  <si>
    <t>AP 1375</t>
  </si>
  <si>
    <t>Hubert Delisle</t>
  </si>
  <si>
    <t>BR 1091</t>
  </si>
  <si>
    <t>Citronnelles</t>
  </si>
  <si>
    <t>BK 1082</t>
  </si>
  <si>
    <t>Bras des Etangs</t>
  </si>
  <si>
    <t>Cilaos</t>
  </si>
  <si>
    <t>AI 1718</t>
  </si>
  <si>
    <t>La Cure</t>
  </si>
  <si>
    <t>BN 781</t>
  </si>
  <si>
    <t>Canal Lilis</t>
  </si>
  <si>
    <t>Poinsétias</t>
  </si>
  <si>
    <t>Bellevue A-B-C</t>
  </si>
  <si>
    <t>Chapelle</t>
  </si>
  <si>
    <t>Casabianca</t>
  </si>
  <si>
    <t>BN 1004</t>
  </si>
  <si>
    <t>AS 1450</t>
  </si>
  <si>
    <t>BW 2862</t>
  </si>
  <si>
    <t>Chemin Galet 1</t>
  </si>
  <si>
    <t>Chemin Galet 2</t>
  </si>
  <si>
    <t>Le Choka Bleu</t>
  </si>
  <si>
    <t>La Cure 2</t>
  </si>
  <si>
    <t>AP 1535</t>
  </si>
  <si>
    <t>BT 920</t>
  </si>
  <si>
    <t>VAF</t>
  </si>
  <si>
    <t>RAS</t>
  </si>
  <si>
    <t>Esparon</t>
  </si>
  <si>
    <t>Poudroux</t>
  </si>
  <si>
    <t>Acte sur BW 1750 / 1752 / 1789
manque les justificatifs sur les autres parcelles</t>
  </si>
  <si>
    <t>HOAREAU</t>
  </si>
  <si>
    <t>HOARAU</t>
  </si>
  <si>
    <t>29/04/1994
27/07/93</t>
  </si>
  <si>
    <t>BN 787 / 789 n'existent plus au cadastre</t>
  </si>
  <si>
    <t>Hoarau</t>
  </si>
  <si>
    <t>bail à construction sur AP 1558 qui concerne Foyer Casabianca</t>
  </si>
  <si>
    <t>Le Goff</t>
  </si>
  <si>
    <t>Moutien</t>
  </si>
  <si>
    <t>CN 286</t>
  </si>
  <si>
    <t>HOARAU
HOARAU
ESPARON</t>
  </si>
  <si>
    <t>13/05/1992
09/08/96
22/08/94</t>
  </si>
  <si>
    <t>BY 105
BY 1045
BY 888
manque bcp de justificatifs</t>
  </si>
  <si>
    <t>BY 1385 …</t>
  </si>
  <si>
    <t>BY 1389 …</t>
  </si>
  <si>
    <t>ESPARON</t>
  </si>
  <si>
    <t>BN 813 / 812</t>
  </si>
  <si>
    <t>manque justificatif BN 812</t>
  </si>
  <si>
    <t>pas de justificatif</t>
  </si>
  <si>
    <t>LAGOURGUE</t>
  </si>
  <si>
    <t>manque les autres parcelles</t>
  </si>
  <si>
    <t>BASTI</t>
  </si>
  <si>
    <t>dépôt de pièces divisant BN 419/420/421/422/423/782/783/825
manque titre de propriété des parcelles divisées</t>
  </si>
  <si>
    <t>AS 62, 63, 64, 513 v n'existent plus au cadastre</t>
  </si>
  <si>
    <t>lots à vendre : CA EPFR début 2017
LES : mise en demeure adressée à l'acquéreur faute de quoi classement du dossier</t>
  </si>
  <si>
    <t>abandon servitude EP - si débordement on avisera</t>
  </si>
  <si>
    <t>BT 130 / 319 / 111 : seule la BT 111 existe encore à ce jour
manque justificatifs des autres parcelles
récupérer fiche immeuble</t>
  </si>
  <si>
    <t>manque beaucoup de justificatifs
acte sur BR 570 / 571 qui n'existent plus
récupérer fiche immeuble</t>
  </si>
  <si>
    <t>AP 513 / AS 63 - 64 - n'existent plus au cadastre / manque des justificatifs
récupérer fiche immeuble</t>
  </si>
  <si>
    <t>pas de justificatif
récupérer fiche immeuble</t>
  </si>
  <si>
    <t>AE 44 / 45 /  46 / 48 n'existent plus au cadastre
récupérer fiche immeuble</t>
  </si>
  <si>
    <t>PROBLEME</t>
  </si>
  <si>
    <t>Baux</t>
  </si>
  <si>
    <t>PRLC 0163</t>
  </si>
  <si>
    <t>LLS / LLTS</t>
  </si>
  <si>
    <t>30/08/2016
01/02/17</t>
  </si>
  <si>
    <t>INDIGO Tranche 1</t>
  </si>
  <si>
    <t>pas de réseau EU</t>
  </si>
  <si>
    <t>réserves à lever</t>
  </si>
  <si>
    <t>attente notification de la réception</t>
  </si>
  <si>
    <t>manque 4 entreprises</t>
  </si>
  <si>
    <t>3 réserves à lever</t>
  </si>
  <si>
    <t>notifiés le 20/06/2016</t>
  </si>
  <si>
    <t>dossier envoyé 22/02/17</t>
  </si>
  <si>
    <t>sans P2</t>
  </si>
  <si>
    <t>ENV 2017</t>
  </si>
  <si>
    <t>37/38 000 000 €</t>
  </si>
  <si>
    <t>€ / lgt</t>
  </si>
  <si>
    <t>sauf Peinture</t>
  </si>
  <si>
    <t>Année Inauguration</t>
  </si>
  <si>
    <t>IMPREVUS AU DEMARRAGE</t>
  </si>
  <si>
    <t>-</t>
  </si>
  <si>
    <t>PRLC 0193</t>
  </si>
  <si>
    <t>PRLC 0194</t>
  </si>
  <si>
    <t>PRLC 0195</t>
  </si>
  <si>
    <t>Type Habitat</t>
  </si>
  <si>
    <t>MDV</t>
  </si>
  <si>
    <t>collectif</t>
  </si>
  <si>
    <t>vente des lots à faire : signature SICA en mai 2017
voie à rétrocéder à l'issue du contentieux</t>
  </si>
  <si>
    <t>servitude PERRAU à mettre en place
rétrocession zone N à faire</t>
  </si>
  <si>
    <t>30/08/2016
01/02/17
06/04/17</t>
  </si>
  <si>
    <t>Opale (ILOT 9)</t>
  </si>
  <si>
    <t>PRLC 0197</t>
  </si>
  <si>
    <t>PRLC 0191</t>
  </si>
  <si>
    <t>Amgt / CO</t>
  </si>
  <si>
    <t>ESQ ==&gt; APD</t>
  </si>
  <si>
    <t>Fin études/AO</t>
  </si>
  <si>
    <t>Clôture défisc</t>
  </si>
  <si>
    <t>H2</t>
  </si>
  <si>
    <t>notifiés en mai</t>
  </si>
  <si>
    <t>Bras de la Plaine</t>
  </si>
  <si>
    <t>1e partie envoyée à OFOI le 08/02/17
dernière partie envoyée à OFOI le 14/06/2017</t>
  </si>
  <si>
    <t>déposé DRFIP 16/06/17</t>
  </si>
  <si>
    <t>TURPIN</t>
  </si>
  <si>
    <t>PRLC 0192</t>
  </si>
  <si>
    <t>Foyer de Charité</t>
  </si>
  <si>
    <t>PRLC 0198</t>
  </si>
  <si>
    <t>PRLC 0199</t>
  </si>
  <si>
    <t>PRLC 0200</t>
  </si>
  <si>
    <t>voie intérieure à rétrocéder
récupérer DOE
faire le DA : FVA s'en occupe</t>
  </si>
  <si>
    <t>AV 120</t>
  </si>
  <si>
    <t>AT 222/223/224</t>
  </si>
  <si>
    <t>Rapport de fin d'opération</t>
  </si>
  <si>
    <t>terrain acheté
projet de bornage transmis à FBR</t>
  </si>
  <si>
    <t>dossier chez OFOI 08/03/2017</t>
  </si>
  <si>
    <t>dossier transmis à OFOI 05/09/16</t>
  </si>
  <si>
    <t>Dépôt DDA définitif</t>
  </si>
  <si>
    <t>élément transmis à OFOI 03/10/17</t>
  </si>
  <si>
    <t xml:space="preserve">AT 222/223/224
compromis AT 222 signé - PD obtenu / bornage 05/10/17
en attente du topo / bornage
empiètement sur AT 224
</t>
  </si>
  <si>
    <t xml:space="preserve">
attente protocole DD 1298 pour prendre possession des lieux
lancer procédure expulsion bungalow</t>
  </si>
  <si>
    <t xml:space="preserve">acheté 25/11/15
DA ER fait
convention de prise de possession anticipée reçue, à signer  / attention aux enrobés
OST à évacuer
AEP coupée
</t>
  </si>
  <si>
    <t xml:space="preserve">rétrocession voirie Mairie : dossier transmis à commune
lots à commercialiser : dépôt de pièces à faire chez notaire
vérifier avec notaire s'il faut afficher le PA modif
notaire prépare cession de la CH 505 à M. RIVIERE
</t>
  </si>
  <si>
    <t>servitude EP à faire : délib CM transmise au notaire qui doit faire un projet de servitude
rétrocéder voirie : BJE doit faire DA / DOE transmis à Commune</t>
  </si>
  <si>
    <t>rétrocession voirie Mairie à faire / DA en attente validation par Commune
DOE transmis à commune</t>
  </si>
  <si>
    <t>DESIRE 3</t>
  </si>
  <si>
    <t>AK 661 - 770</t>
  </si>
  <si>
    <t>Mairie / privé</t>
  </si>
  <si>
    <t>GGO</t>
  </si>
  <si>
    <t>EM 628 p</t>
  </si>
  <si>
    <t>BENJAMIN HOAREAU</t>
  </si>
  <si>
    <t>VINCENDO CAFE</t>
  </si>
  <si>
    <t>BX 420</t>
  </si>
  <si>
    <t>GORBATCHEV</t>
  </si>
  <si>
    <t>BY 284</t>
  </si>
  <si>
    <t>BV 024,213 AO 716,726</t>
  </si>
  <si>
    <t>Avenant EPFR signé
Convention avec riverain signée</t>
  </si>
  <si>
    <t>avenant 1 EPFR  signé - acquisition à mai 2018</t>
  </si>
  <si>
    <t>bornage signé mais remis en cause / servitude de tréfonds SAPHIR
prorogation EPFR jusqu'au 11/09/2019 : avenant à recevoir</t>
  </si>
  <si>
    <t xml:space="preserve">acte signé 30/11/15
voie à détacher : en cours
</t>
  </si>
  <si>
    <t>terrains achetés
PA obtenu</t>
  </si>
  <si>
    <t>BJE récupère les pièces avec FBR
attente tableau des ventes de FBR
Rétrocession du chemin de l'amitié à faire
attente conformité des lots</t>
  </si>
  <si>
    <t xml:space="preserve"> servitude EP OK / échange de lot à faire
DA  en cours pour les lots
manque les pièces PA
rétrocession des 3 rues à faire mais appartiennent à INGEPAR / DA à faire par BJE
1 des lots est occupé</t>
  </si>
  <si>
    <t xml:space="preserve">
1 LOT sous compromis
Obtenir conformité Mairie</t>
  </si>
  <si>
    <t xml:space="preserve">rétrocession voirie Mairie à faire : solliciter la Commune
</t>
  </si>
  <si>
    <t>COCO TURPIN</t>
  </si>
  <si>
    <t>REHAB</t>
  </si>
  <si>
    <t>(vide)</t>
  </si>
  <si>
    <t>Kakis</t>
  </si>
  <si>
    <t>ECART Arrêté DEAL / OS</t>
  </si>
  <si>
    <t>ANNEE DEMARRAGE</t>
  </si>
  <si>
    <t>Cr</t>
  </si>
  <si>
    <t xml:space="preserve">CANNELLE </t>
  </si>
  <si>
    <t xml:space="preserve">PAPYRUS </t>
  </si>
  <si>
    <t>MMA</t>
  </si>
  <si>
    <t xml:space="preserve">AX 24p / 25 / 429p / 28 / 27p
actualisation topo en cours
zone RHI
</t>
  </si>
  <si>
    <t>sem 12/02 : T5</t>
  </si>
  <si>
    <t xml:space="preserve">Taux conformité DCE au CRATE </t>
  </si>
  <si>
    <t>Marché MOE notifié</t>
  </si>
  <si>
    <t>Dépôt du dossier PC en Mairie (GANTT)-Prévu</t>
  </si>
  <si>
    <t>Dépôt du dossier PC en Mairie - Réalisé</t>
  </si>
  <si>
    <t>Ecart dépôt PC (j)</t>
  </si>
  <si>
    <t>OS APD - prévu</t>
  </si>
  <si>
    <t>OS APD - Réalisé</t>
  </si>
  <si>
    <t>Ecart</t>
  </si>
  <si>
    <t>OS ESQ - prévu</t>
  </si>
  <si>
    <t>OS ESQ - Réalisé</t>
  </si>
  <si>
    <t>ECART (j)</t>
  </si>
  <si>
    <t>OS PRO - prévu</t>
  </si>
  <si>
    <t>OS PRO - Réalisé</t>
  </si>
  <si>
    <t>OS DCE - prévu</t>
  </si>
  <si>
    <t>OS DCE - Réalisé</t>
  </si>
  <si>
    <t>Signature Marché Travaux - Prévu</t>
  </si>
  <si>
    <t>Signature Marché Travaux - Réalisé</t>
  </si>
  <si>
    <t>Date OS Prévu</t>
  </si>
  <si>
    <t xml:space="preserve">Ecart </t>
  </si>
  <si>
    <t>Terrassement - Prévu</t>
  </si>
  <si>
    <t>Terrassement Réalisé</t>
  </si>
  <si>
    <t>Fondations - Prévu</t>
  </si>
  <si>
    <t>Fondations Réalisé</t>
  </si>
  <si>
    <t>Elevations - Prévu</t>
  </si>
  <si>
    <t>Elevations Réalisé</t>
  </si>
  <si>
    <t>Cloisons - Prévu</t>
  </si>
  <si>
    <t>Cloisons - Réalisé</t>
  </si>
  <si>
    <t>Finitions int - Prévu</t>
  </si>
  <si>
    <t>Finitions int - Réalisé</t>
  </si>
  <si>
    <t>Réception AEP</t>
  </si>
  <si>
    <t>Réception FT</t>
  </si>
  <si>
    <t>Réception EDF</t>
  </si>
  <si>
    <t>Fonds propres au démarrage</t>
  </si>
  <si>
    <t>Fonds propres actualisés</t>
  </si>
  <si>
    <t>RO successifs</t>
  </si>
  <si>
    <t>Observations générales</t>
  </si>
  <si>
    <t>FMA / FHO</t>
  </si>
  <si>
    <t>FMA / YFR</t>
  </si>
  <si>
    <t>décalage de programmation</t>
  </si>
  <si>
    <t>SFE / AGA / FVA</t>
  </si>
  <si>
    <t>JMO / NBL / FBR</t>
  </si>
  <si>
    <t>JMO / FBR</t>
  </si>
  <si>
    <t>JMO / AGA / FVA</t>
  </si>
  <si>
    <t>SFE / APU</t>
  </si>
  <si>
    <t>passage en crédit d'impôt</t>
  </si>
  <si>
    <t>INFO / arrêt de chantier du 20/02/17 au 17/04/2017 suite pb d'avoisinant (bornage et mur)/retard galvanisation charpente</t>
  </si>
  <si>
    <t>JDC / NBL / MFL / ADE</t>
  </si>
  <si>
    <t>MFL / ADE</t>
  </si>
  <si>
    <t xml:space="preserve">Fourragères </t>
  </si>
  <si>
    <t>PRO à recevoir en 02/18 - PC modif à déposer</t>
  </si>
  <si>
    <t>APS à analyser / PC à déposer 10/02/18 au plus tard</t>
  </si>
  <si>
    <t>PC à déposer 10/02/18 au plus tard</t>
  </si>
  <si>
    <t>PC à déposer 10/02/18 au plus tard / attente données hydrétudes</t>
  </si>
  <si>
    <t>Lot Cloison : SPB par CPR
Lot Etanchéité : RSOP par Corail
Lot Sol souple : RSOP par Corail
Lot peinture : RSOP par Marine Peinture
Soit 4 lots sur 15 lots = 26 %</t>
  </si>
  <si>
    <t>Lot Men Ext
Lot Cloisons
Lot Bardage
Lot Bardage
soit 4 lots sur 14 = 29%
4 RO</t>
  </si>
  <si>
    <t xml:space="preserve">Lot Charpente : BCCM par CMOI
Lot Peinture/Sol : RSOP par Corail
Lot Etanchéité : RVD par Corail
Lot ECS : Sunzil par Gaia 
Soit 4 lots / 14 lots  =  28 % </t>
  </si>
  <si>
    <t>Lot VRD
Lot Men Ext
Soit 2 lots sur 15 soit 13%
3 RO</t>
  </si>
  <si>
    <t>Lot VRD - SATP par Austral TP
Lot Cloisons - SPB par 3PPLUS
Lot Elec : DTS par EES
Soit 3 lots sur 14 = 21%
3 RO</t>
  </si>
  <si>
    <t>Lot Men Ext : APOI
Lot Metallerie : CSMD par M Metallerie
Lot Elec : Filea Elec par Mon ti caze Eclaire
Soit 3 lots sur 14 = 21%
5 RO</t>
  </si>
  <si>
    <t>Lot 4 Menuiserie - PVC 400 par Sofaal
Lot Metallerie : Technipose par Pumalu
soit 2 lots sur 16 = 12%
3 RO</t>
  </si>
  <si>
    <t>OPC :  L'hospitalier par Fromentin
Lot Etanchéité :
Lot Peinture :
Lot Cloison : Plaquiste réunion par Plaquiste.com
Menui Alu : FAOI par Technipose
Menui Alu : Technipose par Soremir
Lot Elect : I2E par Megawatt
Soit  6 lots sur 22 = 27 %</t>
  </si>
  <si>
    <t>Lot Couverture : BCCM par GMF
soit 1 lot sur 14
2 RO</t>
  </si>
  <si>
    <t>Lot 1.1 SATP
Lot 9 ERSEC 
Soit 2 lots sur 15 = 13%
3 RO</t>
  </si>
  <si>
    <t>Lot GO : Dunite btp par CH2D
Lot Métallerie : Sodure par Espace alu
Soit 2 sur 14 lots = 14%
4 RO</t>
  </si>
  <si>
    <t>Lot Bardage : EEC par MJF
Lot Charpente : EEC par MJF
Lot Elect : I2E par IEB
Lot Plomb : Sarhane par Ersec
Lot Plomb : Ersec par CSO
Soit 5 lot sur 14 = 35%
2 RO</t>
  </si>
  <si>
    <t>Résiliation ABR 21/08/13 - attribution EKCB 04/02/14 
Résiliation SATP 20/03/14 - attribution TPL 19/09/14 
Résiliation CSMD 16/05/14 - attribution EKCB 20/07/14 
Résiliation IJAP 20/06/14 - attribution M Peinture 03/12/14 
Résiliation APOI 16/06/15 - attribution SOREMIR 04/09/15
Lot Elec : DTS par Idem
 soit 6 lots sur 15 soit 40%
3 RO</t>
  </si>
  <si>
    <t>Lot Peinture : LSR par Marine Peinture
Lot ECS : Ersec par Gaia
Lot Plomb : Ersec par PSVR
Lot Cloison : CIOI par Austral Placo
Lot Charpente : CSMD par HJP
Lot Metallerie : CSMD par HJP
Lot Revetement Dur : PSOI par TPMIB
Soit 7 lots sur 15 soit 45 %
2 RO</t>
  </si>
  <si>
    <t>Lot Men Ext
Lot Charpente
Lot ECS
Soit 3 sur 17 lots = 17 %
2 RO</t>
  </si>
  <si>
    <t>Lot Elec : DTS par Rayroux
Soit 1 lot sur 16
3 RO</t>
  </si>
  <si>
    <t>Lot Cloison : PRE par DROZ
 soit 1 sur 15</t>
  </si>
  <si>
    <t>Lot élec : Eneris par Espace Soleil
Soit 1 sur 15
4 RO</t>
  </si>
  <si>
    <t>Lot Menui Ext :PVC 400 par Sofaal
soit 1 sur 15
1  RO</t>
  </si>
  <si>
    <t>Lot désamiantage</t>
  </si>
  <si>
    <t>contrat de prêt à recevoir en février 2018 / délib garantie CM 24/02 / VEFA à signer fin fév 18 au + tard</t>
  </si>
  <si>
    <t>courrier de MAP financière / technique faite au promoteur</t>
  </si>
  <si>
    <t>attente schéma directeur EP pour lever réserve BCT sur évacuation EP = réunion Boyer 24/02
attente DCE indice 2
analyser offres désamiantage</t>
  </si>
  <si>
    <t>IMPREVUS ACTUALISES</t>
  </si>
  <si>
    <t>Date réception prévue initialement</t>
  </si>
  <si>
    <t>PRP CA</t>
  </si>
  <si>
    <t>Agrément définitif</t>
  </si>
  <si>
    <t>Date RDC Patrimoine</t>
  </si>
  <si>
    <t>montage technico financier complexe / reprise d'études MOE à la demande du Maire / recherche de solutions pour minimiser les fonds propres (négociation foncière avec un propriétaire foncier pour réalisation de lots à batir en dation)
nombreux retards de paiement de la DAF (JM Plomberie, gros oeuvre)</t>
  </si>
  <si>
    <t>Somme de SF priorisée</t>
  </si>
  <si>
    <t xml:space="preserve">Somme de PRP TTC  </t>
  </si>
  <si>
    <t>€ / m² SF</t>
  </si>
  <si>
    <t>JFO / BBL / FHO / AGA / APU</t>
  </si>
  <si>
    <r>
      <t xml:space="preserve">Lot carrelage : EEPC par 
Lot plomberie : Attitude Plomb par 
Lot ECS : DYELL par 
Lot Charpente : Sorlier par JP Hoarau
Lot Charpente : JP Hoarau par CMOI
</t>
    </r>
    <r>
      <rPr>
        <b/>
        <sz val="8"/>
        <color indexed="8"/>
        <rFont val="Verdana"/>
        <family val="2"/>
      </rPr>
      <t>Soit 5 sur 15 lots  = 33 %</t>
    </r>
    <r>
      <rPr>
        <sz val="8"/>
        <color indexed="8"/>
        <rFont val="Verdana"/>
        <family val="2"/>
      </rPr>
      <t xml:space="preserve">
</t>
    </r>
  </si>
  <si>
    <t>faisaibilité à 23 logements mixte - à la demande de la Mairie réalisation d'une RPA et de moins de logements
beaucoup de RO</t>
  </si>
  <si>
    <t>PRÊT CREDIT D'IMPOT (PM)</t>
  </si>
  <si>
    <t>EM 628 p
CPV avec TURPIN signé + clause substit EPFR
bornage à compléter - manque procurations / DA en cours de finalisation pour EM 629
EPFR délibère en mars/avril
minoration foncière CIVIS</t>
  </si>
  <si>
    <t>envoi à l'arrangeur 07/03/18</t>
  </si>
  <si>
    <t>dossier envoyé Arrangeur 09/11/17</t>
  </si>
  <si>
    <t>envoyé arrangeur 12/10/17</t>
  </si>
  <si>
    <t>envoi arrangeur 21/02/18</t>
  </si>
  <si>
    <t>Budget clôture validé DAF</t>
  </si>
  <si>
    <t>problématique foncière non anticipée et propre à la vente en VEFA défisc
changements de RO
avancement SMOI</t>
  </si>
  <si>
    <t>problématique foncière non anticipée et propre à la vente en VEFA défisc
changements de RO
délai paiement entreprises</t>
  </si>
  <si>
    <t xml:space="preserve">aléa mouvement de terrain grevant la parcelle après maîtrise foncière, à lever auprès du BRGM 
sécurisation du site proximité école
</t>
  </si>
  <si>
    <t>manque  DOE Métallerie</t>
  </si>
  <si>
    <t>Lot Charpente Couverture : Trait Carré par HJP
Lot Gros-œuvre : Robert Construction par CH2D
Lot Men Ext :APOI par Espace Alu
Lot électricité : Electric Services par
Lot Gros-Œuvre : CH2D par DRMS
Lot OPC
Lot plomberie : Fluides OI par
Soit 7 lots sur 14 = 50%
3 RO</t>
  </si>
  <si>
    <t>BD 2997</t>
  </si>
  <si>
    <t>envoi Arrangeur 18/04/18</t>
  </si>
  <si>
    <t>APS</t>
  </si>
  <si>
    <t>Mois de loyers avant 1e échéance</t>
  </si>
  <si>
    <t>Montant échéance annuelle</t>
  </si>
  <si>
    <t>Montant des loyers perçus avant 1e échéance</t>
  </si>
  <si>
    <t>envoi OFOI 22/06/18</t>
  </si>
  <si>
    <t>Prix Achat TTC</t>
  </si>
  <si>
    <t>Frais financiers clôture</t>
  </si>
  <si>
    <t>raccordement EU à 400 mL</t>
  </si>
  <si>
    <t>Date inauguration initiale</t>
  </si>
  <si>
    <t>Date inauguration recalée</t>
  </si>
  <si>
    <t>Retard Inauguration (m)</t>
  </si>
  <si>
    <t>SMOI : 1 mois retard 
mur voisin : 1,5 mois retard</t>
  </si>
  <si>
    <t>Date réception recalée</t>
  </si>
  <si>
    <t>Retard réception (m)</t>
  </si>
  <si>
    <t>Lot Men Ext</t>
  </si>
  <si>
    <t>Lot plomberie 
Lot peinture, étanchéité</t>
  </si>
  <si>
    <t>équipement local refoulement par CASUD à partir du 05/02 (1 mois travaux)</t>
  </si>
  <si>
    <t xml:space="preserve">Lot GO </t>
  </si>
  <si>
    <t>Lot étanchéité</t>
  </si>
  <si>
    <t xml:space="preserve">Lot carrelage </t>
  </si>
  <si>
    <t>COLTRAV : pb avancement sous-traitant
J2S : pb avancement - 20 j pénalités
SMOI : pénalités
4 j intempéries</t>
  </si>
  <si>
    <t>TS Correspondant à des imprévus chantier (or résiliation)</t>
  </si>
  <si>
    <t>% TS / PRP</t>
  </si>
  <si>
    <t>80659
31 478 FRAFU</t>
  </si>
  <si>
    <t>Date EDLE</t>
  </si>
  <si>
    <t>7 &amp; 08/08</t>
  </si>
  <si>
    <t>20 &amp; 21/08</t>
  </si>
  <si>
    <t>bâche à poser pour sécurité incendie, avant inauguration
retard SBIM / AMEDEE</t>
  </si>
  <si>
    <t>difficultés de terrassement dû à la nature du sol rencontré (courrier LASETRA) /retard galvanisation charpente+ 45 jours</t>
  </si>
  <si>
    <t>avancement PERSM problématique
mur soutènement arrière
intempéries</t>
  </si>
  <si>
    <t>manque terrain communal à acheter en mai 2018 : veiller à ce que les abonnements soient résiliés / prorogation à demander à Mairie</t>
  </si>
  <si>
    <t>compromis vente signé prend fin fin mars 2017 / à proroger à juillet 2019</t>
  </si>
  <si>
    <t>Lot. Montvert</t>
  </si>
  <si>
    <t>Lot. FOURRAGERES</t>
  </si>
  <si>
    <t>Neuf / Rehab</t>
  </si>
  <si>
    <t>dont VEFA</t>
  </si>
  <si>
    <t>DBA</t>
  </si>
  <si>
    <t>DAM</t>
  </si>
  <si>
    <t>Benoite Boulard (PIVET-VELIN)</t>
  </si>
  <si>
    <t>N hors REHAB</t>
  </si>
  <si>
    <t>Anne Caze (Plaine St Paul)</t>
  </si>
  <si>
    <t>CI 7</t>
  </si>
  <si>
    <t>AD 133 / 132</t>
  </si>
  <si>
    <t>Prix achat /m² SF</t>
  </si>
  <si>
    <t>En 339/343/568/570</t>
  </si>
  <si>
    <t>BZ 90</t>
  </si>
  <si>
    <t>UC 2</t>
  </si>
  <si>
    <t>2NAUh</t>
  </si>
  <si>
    <t>Christiane - Amata (HE 168) LLTS</t>
  </si>
  <si>
    <t>PRÊT COMPLEMENTAIRE</t>
  </si>
  <si>
    <t>Modif PLU</t>
  </si>
  <si>
    <t>Terrains TSENG KING et chemin de la Chapelle</t>
  </si>
  <si>
    <t>NAUD ==&gt; 1AU</t>
  </si>
  <si>
    <t>attente PLU
03/05/18 : Mairie prend contact avec propriétaires</t>
  </si>
  <si>
    <t>Emplacement réservé Plateau Vincendo</t>
  </si>
  <si>
    <t>CT 325 / CS 520,521</t>
  </si>
  <si>
    <t>CT 325 en zone N / CS 520 en Zone U
opération globale conditionnée à la réalisation d'un rond point sur la RN ==&gt; Mairie prend contact avec la Région</t>
  </si>
  <si>
    <t>Eglise Pharmacie</t>
  </si>
  <si>
    <t>Opération RPA</t>
  </si>
  <si>
    <t>Eglise Pharmacie 2</t>
  </si>
  <si>
    <t>AX 570</t>
  </si>
  <si>
    <t>modif PLU</t>
  </si>
  <si>
    <t>NAU ==&gt; 1 AU</t>
  </si>
  <si>
    <t>Zone A au SAR et hors ZPU. Demande Mairie 2AU au futur PLU</t>
  </si>
  <si>
    <t>Josepha Fontaine Tranche 2</t>
  </si>
  <si>
    <t>Chemin Dardanelles</t>
  </si>
  <si>
    <t>BE 004,005,393,394,339</t>
  </si>
  <si>
    <t>Demande Mairie 2AU au futur PLU. Projet d'ensemble équipements + lgts</t>
  </si>
  <si>
    <t>Chemin des Chardons</t>
  </si>
  <si>
    <t>AV 94, 95 …</t>
  </si>
  <si>
    <t>Demande Mairie 2AU au futur PLU. Projet à développer sur le long terme selon la Mairie</t>
  </si>
  <si>
    <t>BX 26</t>
  </si>
  <si>
    <t>AV 120 - 124</t>
  </si>
  <si>
    <t xml:space="preserve">offre faite au vendeur, problème de transcription aux hypothèques : vendeurs pas en mesure de vendre
o L’EPFR précise qu’il serait intéressant de les solliciter pour percevoir les bonifications SRU ; à ce sujet le plafond a été relevé à 200 K€ par opération depuis janvier 2018
o La DEAL souhaite de la mixité sur ce projet
PPA 18/04/18 : vérifier opportunité d'acquisition simultanée de AV 124. vérifier signification"espace non urbanisé hors TU" (couche SIG). Etude FRAFU à envisager. Vérifier zonage NAU (nouveau PLU)
</t>
  </si>
  <si>
    <t>terrain en indivision bloqué (39 coindivisaires)
opération déséquilibrée financièrement</t>
  </si>
  <si>
    <t xml:space="preserve">études d'urba réalisées – présenté à la DEAL.
DEAL ne souhaite pas d’extension urbaine s’il n’y a pas d’assainissement collectif
DEAL défavorable à un déclassement s’il n’y a pas de STEP mais une nouvelle proposition aurait été faite par la commune à la DEAL
CW 732 exploitable : qui est le propriétaire ?
</t>
  </si>
  <si>
    <t>non inscrit</t>
  </si>
  <si>
    <t>VEFA Trèfles</t>
  </si>
  <si>
    <t>Ex projet PTZ de B Bois – En attente octroi prêt pour la dernière famille- pas d’avancée - simulations financières font état d'un déséquilibre financier du au prix du foncier - Ville informée</t>
  </si>
  <si>
    <t>CAP SUD (ex BOYER LANGEVIN)</t>
  </si>
  <si>
    <t>Etude urbaine</t>
  </si>
  <si>
    <t>FRAFU OK pour études complémentaires. Courrier Mairie sur urbanisation secteur ou pas avant poursuite
03/05/18 : Etude FRAFU à lancer au plus tôt parce que CPV toujours en attente d'accord des vendeurs (1 an de discussion) - désaccord entre vendeurs</t>
  </si>
  <si>
    <t>BOYER</t>
  </si>
  <si>
    <t>BY 674,867,868,872,869,870,877</t>
  </si>
  <si>
    <t>CX 759 p / 191</t>
  </si>
  <si>
    <t>Maisons de ville- assainissement individuel ? Dde de participation communale : CASUD n'accepte pas le principe de rétrocession d'une microstation, nécessaire à la densification et à l'équilibre financier du projet</t>
  </si>
  <si>
    <t>Terrain Defaud. Attente étude communale passage d'une voie de 9m en ER. 
09/05/18 : discussions en cours avec SPRINR sur optimisation PPR. Commerces prévus en RDC
Offre refusée par propriétaire
pas de retour Mairie sur définitiion emprise ER</t>
  </si>
  <si>
    <t>BX 1057,1055,1053,950</t>
  </si>
  <si>
    <t>BT 920 3 MARES</t>
  </si>
  <si>
    <t>mairie ne souhaite pas de logements aidés - terrain maîtrisé par la Ville / relancer mairie sur volonté programmatique</t>
  </si>
  <si>
    <t>Mairie</t>
  </si>
  <si>
    <t>réétudier opé avec FRAFU à la demande de la DEAL
 Attente PLU 2018
faire simul FRAFU</t>
  </si>
  <si>
    <t>Propriétaire à relancer sur opportunité de vente
Mairie veut du PLS - Position Etat à définir
Etude à lancer sur programme qui passe de 35 à 60 lgts
Reflexion SODEGIS élargie aux parcelles voisines
Terrain toujours disponible ? Attention terrain cher</t>
  </si>
  <si>
    <t>ETUDE URBAINE DU 23e KM - CHATAIGNERS</t>
  </si>
  <si>
    <t>DE 22,407,408,265</t>
  </si>
  <si>
    <t>3 ha de terrain constructible- Etude Phase 1 présentée à DEAL
09/05/18 : Etude FRAFU relancée (signée par nouveau DG). A présenter + définition du programme à préciser (mixité sociale et fonctionnelle à prévoir)
Relevé topo initial envoyé à la Ville - pas de retour</t>
  </si>
  <si>
    <t>attente offres MOE 25/10/18 pour lancer ESQ
portage EPFR prévu / topo toujours pas commandé</t>
  </si>
  <si>
    <t>cloture</t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</si>
  <si>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rFont val="Calibri"/>
        <family val="2"/>
        <scheme val="minor"/>
      </rPr>
      <t xml:space="preserve"> Paule &amp; Gaston</t>
    </r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</si>
  <si>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color theme="1"/>
        <rFont val="Calibri"/>
        <family val="2"/>
        <scheme val="minor"/>
      </rPr>
      <t xml:space="preserve"> CROUS St Pierre</t>
    </r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</si>
  <si>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color theme="1"/>
        <rFont val="Calibri"/>
        <family val="2"/>
        <scheme val="minor"/>
      </rPr>
      <t xml:space="preserve"> CROUS Tampon</t>
    </r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</si>
  <si>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rFont val="Calibri"/>
        <family val="2"/>
        <scheme val="minor"/>
      </rPr>
      <t xml:space="preserve"> Maurice Lebon</t>
    </r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</si>
  <si>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color theme="1"/>
        <rFont val="Calibri"/>
        <family val="2"/>
        <scheme val="minor"/>
      </rPr>
      <t xml:space="preserve"> Raisins Marines (Hopital)</t>
    </r>
  </si>
  <si>
    <t>EN 563</t>
  </si>
  <si>
    <t xml:space="preserve">AP 1270 / 1274 / 1280 </t>
  </si>
  <si>
    <t>SEDRE</t>
  </si>
  <si>
    <t>DENSITE lgt/ha</t>
  </si>
  <si>
    <t xml:space="preserve">Bouton d'Or </t>
  </si>
  <si>
    <t>Lot cloisons
Lot carrelage
Lot peinture / sols souples</t>
  </si>
  <si>
    <t>TERRAIN</t>
  </si>
  <si>
    <t xml:space="preserve">VRD </t>
  </si>
  <si>
    <t>Problémes chantier / RETARDS</t>
  </si>
  <si>
    <t xml:space="preserve">33 j dont 15 prévus au CCAP = intempéries 
1 MOIS = coactivité collège / école
3 MOIS = 4 résiliations
1 MOIS = GILETS JAUNES
1 MOIS = 2é période de congés BTP non prévue
3 SEMAINES = réception EDF
</t>
  </si>
  <si>
    <t>1 MOIS = pb effectif Gros Œuvre / avancement  plaquiste + retards de paiement SODEGIS
3 MOIS = SIDELEC
2 SEMAINES = GILETS JAUNES</t>
  </si>
  <si>
    <t>1 MOIS = GILETS JAUNES
1 MOIS = MARGE DE SECURITE</t>
  </si>
  <si>
    <t>1 MOIS = GILETS JAUNES
2 MOIS = MARGE DE SECURITE</t>
  </si>
  <si>
    <t>Début préfinancement (1e jour du mois suivant la prise d'effet du contrat)</t>
  </si>
  <si>
    <t>Limite validité Ct prêt - Prise d'effet du contrat</t>
  </si>
  <si>
    <t>Hélène TONRU (RPA mixte St Philippe)</t>
  </si>
  <si>
    <t>envoyé arrangeur 11/10/18</t>
  </si>
  <si>
    <t>PRLC 0207</t>
  </si>
  <si>
    <t>PRLC 0208</t>
  </si>
  <si>
    <t>PRLC 0209</t>
  </si>
  <si>
    <t>PRLC 0210</t>
  </si>
  <si>
    <t>PRLC 0205</t>
  </si>
  <si>
    <t>Budget pré-clôture validé DAF</t>
  </si>
  <si>
    <t>PRLC 0206</t>
  </si>
  <si>
    <t>CPV en cours
portage EPFR à prévoir</t>
  </si>
  <si>
    <t>BD 1427p/1428p</t>
  </si>
  <si>
    <t>1AUB</t>
  </si>
  <si>
    <t>reste 1 réserve</t>
  </si>
  <si>
    <t>CREDIT IMPOT ACTUEL</t>
  </si>
  <si>
    <t>Fin préfinancement / 1e échéance de prêt (24 mois)</t>
  </si>
  <si>
    <t>Transmission contrat prêt DAF</t>
  </si>
  <si>
    <t>Loyers manquants</t>
  </si>
  <si>
    <t>1 MOIS GILETS JAUNES
1 MOIS = MARGE DE SECURITE
pb lot charpente
pb lot électricité</t>
  </si>
  <si>
    <t>Lot carrelage</t>
  </si>
  <si>
    <t>1 MOIS = résiliation lot carrelage
2 MOIS = SIDELEC
1 MOIS = 2e période de congés BTP non prévue
1 MOIS = GILETS JAUNES</t>
  </si>
  <si>
    <t>lot LES + lot communal à commercialiser</t>
  </si>
  <si>
    <t>rétrocession voie d'accès</t>
  </si>
  <si>
    <t>TQU</t>
  </si>
  <si>
    <t>AS 473/1384</t>
  </si>
  <si>
    <t>envoyé 30/01/19</t>
  </si>
  <si>
    <t>Prix achat /m² SHAB</t>
  </si>
  <si>
    <t>1 MOIS = GILETS JAUNES
1,5 MOIS = MARGE DE SECURITE EDF / SIDELEC</t>
  </si>
  <si>
    <t>stand by</t>
  </si>
  <si>
    <t>STOP</t>
  </si>
  <si>
    <t>AT 1291-1293-1294</t>
  </si>
  <si>
    <t>SIDR</t>
  </si>
  <si>
    <t>BW 1397</t>
  </si>
  <si>
    <t>Ua</t>
  </si>
  <si>
    <t>BM 7 / 8</t>
  </si>
  <si>
    <t>AK 931</t>
  </si>
  <si>
    <t>Uc</t>
  </si>
  <si>
    <t>AUC14</t>
  </si>
  <si>
    <t>AUC4</t>
  </si>
  <si>
    <t>TRINITE 2 &amp; 3</t>
  </si>
  <si>
    <t>Prix achat / lgt</t>
  </si>
  <si>
    <t>RHI</t>
  </si>
  <si>
    <t>AT 184/200 p</t>
  </si>
  <si>
    <t>GINGKO &amp; BILOBA LLTS</t>
  </si>
  <si>
    <t>GINGKO &amp; BILOBA LLS</t>
  </si>
  <si>
    <t>AT 183</t>
  </si>
  <si>
    <t>EK 235</t>
  </si>
  <si>
    <t>AZ 261,178</t>
  </si>
  <si>
    <t>CW 730,731, 732,656, 627,29, 684,1048,1049</t>
  </si>
  <si>
    <t>Terrain Marion Bois Noirs</t>
  </si>
  <si>
    <t>BX 590 p - 1027</t>
  </si>
  <si>
    <t>AV 651 p</t>
  </si>
  <si>
    <t>AX 193 / 236</t>
  </si>
  <si>
    <t>BM 1251 p</t>
  </si>
  <si>
    <t>CAL 23/04</t>
  </si>
  <si>
    <t>problématique juridique INTERINVEST qui a mis beaucoup de temps à se solutionner
retard SBIM / AMEDEE
convention MOD EDF très tardive
38 158 € de pénalités appliquées</t>
  </si>
  <si>
    <t>DATE LIMITE DAT CREDIT IMPOT</t>
  </si>
  <si>
    <t>28/12/2018
01/04/19</t>
  </si>
  <si>
    <t>FANJAN (Ilot 6.2)</t>
  </si>
  <si>
    <t>BX 176</t>
  </si>
  <si>
    <t>REPARTITION ASSISTANTES TRAVAUX NEUFS &amp; REHABILITATION</t>
  </si>
  <si>
    <t>dossier envoyé une 2e fois 31/01/2019</t>
  </si>
  <si>
    <t>rel RO 17/4/19</t>
  </si>
  <si>
    <t>PRLC 0213</t>
  </si>
  <si>
    <t>CREDIT D'IMPOT</t>
  </si>
  <si>
    <t>Loyer moyen / lgt</t>
  </si>
  <si>
    <t>SHAB y/c V</t>
  </si>
  <si>
    <r>
      <rPr>
        <sz val="11"/>
        <color rgb="FFFF0000"/>
        <rFont val="Calibri"/>
        <family val="2"/>
        <scheme val="minor"/>
      </rPr>
      <t xml:space="preserve">VEFA </t>
    </r>
    <r>
      <rPr>
        <sz val="11"/>
        <rFont val="Calibri"/>
        <family val="2"/>
        <scheme val="minor"/>
      </rPr>
      <t xml:space="preserve"> Les Rosiers</t>
    </r>
    <r>
      <rPr>
        <sz val="11"/>
        <color rgb="FFFF0000"/>
        <rFont val="Calibri"/>
        <family val="2"/>
        <scheme val="minor"/>
      </rPr>
      <t xml:space="preserve">  </t>
    </r>
    <r>
      <rPr>
        <sz val="11"/>
        <rFont val="Calibri"/>
        <family val="2"/>
        <scheme val="minor"/>
      </rPr>
      <t>LLS</t>
    </r>
  </si>
  <si>
    <r>
      <rPr>
        <sz val="11"/>
        <color rgb="FFFF0000"/>
        <rFont val="Calibri"/>
        <family val="2"/>
        <scheme val="minor"/>
      </rPr>
      <t xml:space="preserve">VEFA </t>
    </r>
    <r>
      <rPr>
        <sz val="11"/>
        <rFont val="Calibri"/>
        <family val="2"/>
        <scheme val="minor"/>
      </rPr>
      <t xml:space="preserve"> Les Rosiers</t>
    </r>
    <r>
      <rPr>
        <sz val="11"/>
        <color rgb="FFFF0000"/>
        <rFont val="Calibri"/>
        <family val="2"/>
        <scheme val="minor"/>
      </rPr>
      <t xml:space="preserve"> </t>
    </r>
    <r>
      <rPr>
        <sz val="11"/>
        <rFont val="Calibri"/>
        <family val="2"/>
        <scheme val="minor"/>
      </rPr>
      <t>LLTS</t>
    </r>
  </si>
  <si>
    <t>Christiane - Amata (HE 168) LLS</t>
  </si>
  <si>
    <t>RPA DU PARC</t>
  </si>
  <si>
    <t>SHAB / lgt</t>
  </si>
  <si>
    <t>HDE - Prévu</t>
  </si>
  <si>
    <t>HDE - Réalisé</t>
  </si>
  <si>
    <t>HDA - Prévu</t>
  </si>
  <si>
    <t>HDA - Réalisé</t>
  </si>
  <si>
    <t>DEPENSES COMPTABILISEES</t>
  </si>
  <si>
    <t>SUBVENTIONS TOTALES</t>
  </si>
  <si>
    <t>SUBVENTIONS COMPTABILISEES</t>
  </si>
  <si>
    <t>Mois restant avant réception</t>
  </si>
  <si>
    <t>% avancement dépenses</t>
  </si>
  <si>
    <t>% avancement subventions</t>
  </si>
  <si>
    <t>RESTE A DEPENSER</t>
  </si>
  <si>
    <t>SUBVENTIONS RESTANTES</t>
  </si>
  <si>
    <t>PRLC 0214</t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</si>
  <si>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color theme="1"/>
        <rFont val="Calibri"/>
        <family val="2"/>
        <scheme val="minor"/>
      </rPr>
      <t xml:space="preserve"> Miami</t>
    </r>
  </si>
  <si>
    <t>N°</t>
  </si>
  <si>
    <t>OBS</t>
  </si>
  <si>
    <t>foncier déjà acheté
à dépenser ACT + 1e situation GO / VRD + DO</t>
  </si>
  <si>
    <t xml:space="preserve">ACT MOE, éventuellement 1e situation VRD </t>
  </si>
  <si>
    <t>achat terrain 600 000 + fondations</t>
  </si>
  <si>
    <t>- 100 824 frais notaire sortie défisc</t>
  </si>
  <si>
    <t>achat foncier 1016540
1e situation GO et VRD</t>
  </si>
  <si>
    <t>1e situation GO et VRD</t>
  </si>
  <si>
    <t>achat terrain 296 000
1e situation GO et VRD</t>
  </si>
  <si>
    <t>reliquat prix terrain
1e situation GO et VRD</t>
  </si>
  <si>
    <t>SUB ETAT</t>
  </si>
  <si>
    <t>PRLC 0212</t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</si>
  <si>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color theme="1"/>
        <rFont val="Calibri"/>
        <family val="2"/>
        <scheme val="minor"/>
      </rPr>
      <t xml:space="preserve"> BERGAMOTE TROIS MARES LLS</t>
    </r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</si>
  <si>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color theme="1"/>
        <rFont val="Calibri"/>
        <family val="2"/>
        <scheme val="minor"/>
      </rPr>
      <t xml:space="preserve"> BERGAMOTE TROIS MARES LLTS</t>
    </r>
  </si>
  <si>
    <t>PHB 2.0</t>
  </si>
  <si>
    <t>PRP TTC HORS FRAFU</t>
  </si>
  <si>
    <t>Délai obtention prêt</t>
  </si>
  <si>
    <t>OS en  attente de délivrance</t>
  </si>
  <si>
    <t>NEUF</t>
  </si>
  <si>
    <t>Délai obtention LBU</t>
  </si>
  <si>
    <t>Demande LBU</t>
  </si>
  <si>
    <t>JMO / NBL / FBR / BBL</t>
  </si>
  <si>
    <t>envoyé 14/06/19</t>
  </si>
  <si>
    <t>CA autorisation de pgr</t>
  </si>
  <si>
    <t>CA autorisation d'emprunt</t>
  </si>
  <si>
    <t>27/07/2018
50 ans</t>
  </si>
  <si>
    <t>27/07/2018
60 ans</t>
  </si>
  <si>
    <t>27/07/2018
60 ans - manque PHB</t>
  </si>
  <si>
    <t>27/09/2018
26/02/19</t>
  </si>
  <si>
    <t>27/07/18 
LLS / LLTS
manque CIDOM</t>
  </si>
  <si>
    <t>dossier transmis 18/07/19</t>
  </si>
  <si>
    <t>quittance défi reçue 17/07/19 : à traiter</t>
  </si>
  <si>
    <t>envoi 12/08/19</t>
  </si>
  <si>
    <t>DATE LIMITE DAT</t>
  </si>
  <si>
    <t>transmis 15/07 à GL</t>
  </si>
  <si>
    <t>marchés en cours de notifications</t>
  </si>
  <si>
    <t>offres entreprises à recevoir 18/09/19</t>
  </si>
  <si>
    <t>AO en cours infructueux : DCE en cours de modification</t>
  </si>
  <si>
    <t>DCE en finalisation pour trouver des économies</t>
  </si>
  <si>
    <t>offres entreprises à recevoir 04/09/19</t>
  </si>
  <si>
    <t>stand by RHI</t>
  </si>
  <si>
    <t>opération annulée : plus de promoteur</t>
  </si>
  <si>
    <t xml:space="preserve">AO à lancer  </t>
  </si>
  <si>
    <t>demande de prêt en cours d'instruction</t>
  </si>
  <si>
    <t>PC en instruction</t>
  </si>
  <si>
    <t>DIAG/ESQ</t>
  </si>
  <si>
    <t>2e présentation ACPC 29/08</t>
  </si>
  <si>
    <t>présentation ACPC 29/08</t>
  </si>
  <si>
    <t>PC à déposer</t>
  </si>
  <si>
    <t>possible P2 (plan topo pas reçu)</t>
  </si>
  <si>
    <t>1e présentation ACPC 30/08</t>
  </si>
  <si>
    <t>PC en instruction
projet à présenter à la DEAL</t>
  </si>
  <si>
    <t>envoyé 03/09/19</t>
  </si>
  <si>
    <t>FT réceptionné
compteurs EDF posés
reste compteurs AEP à poser</t>
  </si>
  <si>
    <t>1e visite réception EDF 02/09
20/09 coffret EDF sous tension
07/10 réception EDF
17/10 mise sous tension opé
pb accès diocèse</t>
  </si>
  <si>
    <t>tvx complémentaires - dates à caler fin sept</t>
  </si>
  <si>
    <t>demande de prêt à faire semaine 09/09</t>
  </si>
  <si>
    <t>attente arrêté PC pour que dossier soit transmis au contrôle siège DEAL</t>
  </si>
  <si>
    <t>en contrôle siège DEAL</t>
  </si>
  <si>
    <t>en contrôle siège DEAL - promoteur négocie prise en charge désamiantage par vendeur foncier</t>
  </si>
  <si>
    <t>déposés</t>
  </si>
  <si>
    <t>financés</t>
  </si>
  <si>
    <t>contrôle siège DEAL</t>
  </si>
  <si>
    <t>attente arrêté PC</t>
  </si>
  <si>
    <t>dont prix foncier</t>
  </si>
  <si>
    <t>GO</t>
  </si>
  <si>
    <t>HDE  (bardage / étanchéité / couverture)</t>
  </si>
  <si>
    <t>HDA</t>
  </si>
  <si>
    <t>FINITIONS</t>
  </si>
  <si>
    <t>FLUIDES</t>
  </si>
  <si>
    <t>TOTAL PRP HT</t>
  </si>
  <si>
    <t>PRP TTC AVEC FRAFU</t>
  </si>
  <si>
    <t>BX 1134</t>
  </si>
  <si>
    <t>BP 593</t>
  </si>
  <si>
    <t>Lacaussade 1</t>
  </si>
  <si>
    <t>Cœur de village 40</t>
  </si>
  <si>
    <t>Cazala</t>
  </si>
  <si>
    <t>Le Ruisseau</t>
  </si>
  <si>
    <t>La Forêt</t>
  </si>
  <si>
    <t>Orchidées 2</t>
  </si>
  <si>
    <t>Lacaussade 2</t>
  </si>
  <si>
    <t>Cœur de Village 45</t>
  </si>
  <si>
    <t>Usine à Vetyver</t>
  </si>
  <si>
    <t>Les Quais</t>
  </si>
  <si>
    <t>Nid Joli</t>
  </si>
  <si>
    <t>BT 1024-1025-1033-1035-1034-1032-1042-1043</t>
  </si>
  <si>
    <t>1AUA</t>
  </si>
  <si>
    <t>16/9/19
15/10/19</t>
  </si>
  <si>
    <t>2/10/19 DEAL</t>
  </si>
  <si>
    <t>25/04/19 DEAL</t>
  </si>
  <si>
    <t>IKARIA LLS</t>
  </si>
  <si>
    <t>IKARIA LLTS</t>
  </si>
  <si>
    <t>MHO</t>
  </si>
  <si>
    <t>BOULANGER LLS</t>
  </si>
  <si>
    <t>BOULANGER LLTS</t>
  </si>
  <si>
    <t>envoi INGEPAR 18/01/19</t>
  </si>
  <si>
    <t>envoi INGEPAR 16/05/19</t>
  </si>
  <si>
    <t>envoi INGEPAR 30/11/18</t>
  </si>
  <si>
    <t>envoyé arrangeur 17/07/18</t>
  </si>
  <si>
    <t>envoi OFOI 12/11/19</t>
  </si>
  <si>
    <t>CR</t>
  </si>
  <si>
    <t>29/08/2019
14/11/19
à revoir</t>
  </si>
  <si>
    <t>25/09/2018
14/11/19</t>
  </si>
  <si>
    <t>envoi 28/11/19</t>
  </si>
  <si>
    <t xml:space="preserve">envoyé </t>
  </si>
  <si>
    <t>réserves PMR</t>
  </si>
  <si>
    <t>PRLC 0218</t>
  </si>
  <si>
    <t>PRLC 0219</t>
  </si>
  <si>
    <t>PRLC 0217</t>
  </si>
  <si>
    <t>PRLC 0220</t>
  </si>
  <si>
    <t>PRLC 0221</t>
  </si>
  <si>
    <t>PRLC 0222</t>
  </si>
  <si>
    <t>Flamboyants (Avenue Raymond Barre)</t>
  </si>
  <si>
    <t>Les Orchidées 1</t>
  </si>
  <si>
    <t>envoi à OFOI 02/12/2019</t>
  </si>
  <si>
    <t>promoteur</t>
  </si>
  <si>
    <t>envoyé 10/01/20</t>
  </si>
  <si>
    <t>DAM / VAF</t>
  </si>
  <si>
    <t>PC</t>
  </si>
  <si>
    <t>ECL</t>
  </si>
  <si>
    <t>envoi à OFOI 06/11/19</t>
  </si>
  <si>
    <t>transmis GL</t>
  </si>
  <si>
    <t>envoi INGEPAR 23/01/20</t>
  </si>
  <si>
    <t>envoi 10/02/20</t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</si>
  <si>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color theme="1"/>
        <rFont val="Calibri"/>
        <family val="2"/>
        <scheme val="minor"/>
      </rPr>
      <t xml:space="preserve"> ACACIAS LLTS</t>
    </r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</si>
  <si>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color theme="1"/>
        <rFont val="Calibri"/>
        <family val="2"/>
        <scheme val="minor"/>
      </rPr>
      <t xml:space="preserve"> ACACIAS LLS</t>
    </r>
  </si>
  <si>
    <t>11/02/20
15/11/19</t>
  </si>
  <si>
    <r>
      <rPr>
        <sz val="11"/>
        <color rgb="FFFF0000"/>
        <rFont val="Calibri"/>
        <family val="2"/>
        <scheme val="minor"/>
      </rPr>
      <t>VEFA</t>
    </r>
    <r>
      <rPr>
        <sz val="11"/>
        <color theme="1"/>
        <rFont val="Calibri"/>
        <family val="2"/>
        <scheme val="minor"/>
      </rPr>
      <t xml:space="preserve"> Les Pechers </t>
    </r>
  </si>
  <si>
    <r>
      <rPr>
        <sz val="11"/>
        <color rgb="FFFF0000"/>
        <rFont val="Calibri"/>
        <family val="2"/>
        <scheme val="minor"/>
      </rPr>
      <t>VEFA</t>
    </r>
    <r>
      <rPr>
        <sz val="11"/>
        <color theme="1"/>
        <rFont val="Calibri"/>
        <family val="2"/>
        <scheme val="minor"/>
      </rPr>
      <t xml:space="preserve"> Oiseaux du Paradis </t>
    </r>
  </si>
  <si>
    <r>
      <rPr>
        <b/>
        <sz val="11"/>
        <color rgb="FFFF0000"/>
        <rFont val="Calibri"/>
        <family val="2"/>
        <scheme val="minor"/>
      </rPr>
      <t xml:space="preserve">VEFA </t>
    </r>
    <r>
      <rPr>
        <b/>
        <sz val="11"/>
        <rFont val="Calibri"/>
        <family val="2"/>
        <scheme val="minor"/>
      </rPr>
      <t>Roland Garros LLS</t>
    </r>
  </si>
  <si>
    <r>
      <rPr>
        <b/>
        <sz val="11"/>
        <color rgb="FFFF0000"/>
        <rFont val="Calibri"/>
        <family val="2"/>
        <scheme val="minor"/>
      </rPr>
      <t xml:space="preserve">VEFA </t>
    </r>
    <r>
      <rPr>
        <b/>
        <sz val="11"/>
        <rFont val="Calibri"/>
        <family val="2"/>
        <scheme val="minor"/>
      </rPr>
      <t>Roland Garros PLS</t>
    </r>
  </si>
  <si>
    <t>MTG</t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</si>
  <si>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color theme="1"/>
        <rFont val="Calibri"/>
        <family val="2"/>
        <scheme val="minor"/>
      </rPr>
      <t xml:space="preserve"> ALVERDY</t>
    </r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</si>
  <si>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rFont val="Calibri"/>
        <family val="2"/>
        <scheme val="minor"/>
      </rPr>
      <t xml:space="preserve"> LOULOU PITOU (LA SAFRANIERE)</t>
    </r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</si>
  <si>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rFont val="Calibri"/>
        <family val="2"/>
        <scheme val="minor"/>
      </rPr>
      <t xml:space="preserve"> EQUILIBRE</t>
    </r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</si>
  <si>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color theme="1"/>
        <rFont val="Calibri"/>
        <family val="2"/>
        <scheme val="minor"/>
      </rPr>
      <t xml:space="preserve"> EPICEA BX 26</t>
    </r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</si>
  <si>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color theme="1"/>
        <rFont val="Calibri"/>
        <family val="2"/>
        <scheme val="minor"/>
      </rPr>
      <t xml:space="preserve"> 23e KM ADJIBI LLS</t>
    </r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</si>
  <si>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color theme="1"/>
        <rFont val="Calibri"/>
        <family val="2"/>
        <scheme val="minor"/>
      </rPr>
      <t xml:space="preserve"> JARDINS PARTAGES T1 LLS</t>
    </r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</si>
  <si>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color theme="1"/>
        <rFont val="Calibri"/>
        <family val="2"/>
        <scheme val="minor"/>
      </rPr>
      <t xml:space="preserve"> MAZEAU ROUSSEL T1 LLS</t>
    </r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</si>
  <si>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color theme="1"/>
        <rFont val="Calibri"/>
        <family val="2"/>
        <scheme val="minor"/>
      </rPr>
      <t xml:space="preserve"> Résidence BERTAUT LLS</t>
    </r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</si>
  <si>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color theme="1"/>
        <rFont val="Calibri"/>
        <family val="2"/>
        <scheme val="minor"/>
      </rPr>
      <t xml:space="preserve"> 23e KM ADJIBI LLTS</t>
    </r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</si>
  <si>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color theme="1"/>
        <rFont val="Calibri"/>
        <family val="2"/>
        <scheme val="minor"/>
      </rPr>
      <t xml:space="preserve"> JARDINS PARTAGES T1 LLTS</t>
    </r>
  </si>
  <si>
    <r>
      <rPr>
        <b/>
        <sz val="11"/>
        <color rgb="FFFF0000"/>
        <rFont val="Calibri"/>
        <family val="2"/>
        <scheme val="minor"/>
      </rPr>
      <t xml:space="preserve">VEFA </t>
    </r>
    <r>
      <rPr>
        <b/>
        <sz val="11"/>
        <rFont val="Calibri"/>
        <family val="2"/>
        <scheme val="minor"/>
      </rPr>
      <t>MAZEAU ROUSSEL</t>
    </r>
    <r>
      <rPr>
        <b/>
        <sz val="11"/>
        <color theme="1"/>
        <rFont val="Calibri"/>
        <family val="2"/>
        <scheme val="minor"/>
      </rPr>
      <t xml:space="preserve"> T1 LLTS</t>
    </r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</si>
  <si>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color theme="1"/>
        <rFont val="Calibri"/>
        <family val="2"/>
        <scheme val="minor"/>
      </rPr>
      <t xml:space="preserve"> JARDINS DE MONTAIGNE</t>
    </r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</si>
  <si>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color theme="1"/>
        <rFont val="Calibri"/>
        <family val="2"/>
        <scheme val="minor"/>
      </rPr>
      <t xml:space="preserve"> JARDINS PARTAGES T1 PLS</t>
    </r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</si>
  <si>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color theme="1"/>
        <rFont val="Calibri"/>
        <family val="2"/>
        <scheme val="minor"/>
      </rPr>
      <t xml:space="preserve"> Résidence BERTAUT PLS</t>
    </r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</si>
  <si>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color theme="1"/>
        <rFont val="Calibri"/>
        <family val="2"/>
        <scheme val="minor"/>
      </rPr>
      <t xml:space="preserve"> JARDINS PARTAGES T2 LLS</t>
    </r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</si>
  <si>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color theme="1"/>
        <rFont val="Calibri"/>
        <family val="2"/>
        <scheme val="minor"/>
      </rPr>
      <t xml:space="preserve"> JARDINS PARTAGES T2 LLTS</t>
    </r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</si>
  <si>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color theme="1"/>
        <rFont val="Calibri"/>
        <family val="2"/>
        <scheme val="minor"/>
      </rPr>
      <t xml:space="preserve"> JARDINS PARTAGES T2 PLS</t>
    </r>
  </si>
  <si>
    <r>
      <rPr>
        <b/>
        <sz val="11"/>
        <color rgb="FFFF0000"/>
        <rFont val="Calibri"/>
        <family val="2"/>
        <scheme val="minor"/>
      </rPr>
      <t xml:space="preserve">VEFA </t>
    </r>
    <r>
      <rPr>
        <b/>
        <sz val="11"/>
        <rFont val="Calibri"/>
        <family val="2"/>
        <scheme val="minor"/>
      </rPr>
      <t>MAZEAU ROUSSEL</t>
    </r>
    <r>
      <rPr>
        <b/>
        <sz val="11"/>
        <color theme="1"/>
        <rFont val="Calibri"/>
        <family val="2"/>
        <scheme val="minor"/>
      </rPr>
      <t xml:space="preserve"> T2 LLS</t>
    </r>
  </si>
  <si>
    <r>
      <rPr>
        <b/>
        <sz val="11"/>
        <color rgb="FFFF0000"/>
        <rFont val="Calibri"/>
        <family val="2"/>
        <scheme val="minor"/>
      </rPr>
      <t xml:space="preserve">VEFA </t>
    </r>
    <r>
      <rPr>
        <b/>
        <sz val="11"/>
        <rFont val="Calibri"/>
        <family val="2"/>
        <scheme val="minor"/>
      </rPr>
      <t>MAZEAU ROUSSEL</t>
    </r>
    <r>
      <rPr>
        <b/>
        <sz val="11"/>
        <color theme="1"/>
        <rFont val="Calibri"/>
        <family val="2"/>
        <scheme val="minor"/>
      </rPr>
      <t xml:space="preserve"> T2 LLTS</t>
    </r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</si>
  <si>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rFont val="Calibri"/>
        <family val="2"/>
        <scheme val="minor"/>
      </rPr>
      <t xml:space="preserve"> RPA ALBIUS</t>
    </r>
  </si>
  <si>
    <t>Loyer m² SF affiché DEAL</t>
  </si>
  <si>
    <t>Loyer m² SF pratiqué</t>
  </si>
  <si>
    <t>transmis 08/04 à GL</t>
  </si>
  <si>
    <t>% avancement dépenses à fin 2020</t>
  </si>
  <si>
    <t xml:space="preserve">1 MOIS = adaptation fondations
1 MOIS = GILETS JAUNES
3 MOIS = MARGE DE SECURITE
2 MOIS = COVID </t>
  </si>
  <si>
    <t xml:space="preserve">1 MOIS = résiliation lot gros-œuvre
1 MOIS = GILETS JAUNES
1,5 MOIS = MARGE DE SECURITE
2 MOIS = COVID </t>
  </si>
  <si>
    <t xml:space="preserve">2 MOIS = COVID </t>
  </si>
  <si>
    <t>1 MOIS = GILETS JAUNES
2 MOIS = MARGE DE SECURITE
2 MOIS = COVID 
TS prêt complémentaire</t>
  </si>
  <si>
    <t>2 MOIS = COVID 
TS prêt complémentaire</t>
  </si>
  <si>
    <t xml:space="preserve">1 MOIS = GILETS JAUNES
2 MOIS = MARGE DE SECURITE
2 MOIS = COVID 
TS   </t>
  </si>
  <si>
    <t>100 Marches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</si>
</sst>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3">
    <numFmt numFmtId="164" formatCode="_-* #,##0\ _€_-;\-* #,##0\ _€_-;_-* &quot;-&quot;\ _€_-;_-@_-"/>
    <numFmt numFmtId="165" formatCode="_-* #,##0.00\ _€_-;\-* #,##0.00\ _€_-;_-* &quot;-&quot;??\ _€_-;_-@_-"/>
    <numFmt numFmtId="166" formatCode="dd/mm/yy;@"/>
    <numFmt numFmtId="167" formatCode="#,##0\ _€"/>
    <numFmt numFmtId="168" formatCode="_-* #,##0\ _€_-;\-* #,##0\ _€_-;_-* &quot;-&quot;??\ _€_-;_-@_-"/>
    <numFmt numFmtId="169" formatCode="_(* #,##0.00_);_(* \(#,##0.00\);_(* &quot;-&quot;??_);_(@_)"/>
    <numFmt numFmtId="170" formatCode="[$-40C]mmmm\-yy;@"/>
    <numFmt numFmtId="171" formatCode="[$-40C]mmm\-yy;@"/>
    <numFmt numFmtId="177" formatCode="0.0"/>
    <numFmt numFmtId="184" formatCode="#,##0.00\ _€"/>
    <numFmt numFmtId="191" formatCode="#,##0.0"/>
    <numFmt numFmtId="192" formatCode="&quot;RESTE A DEPENSER jusqu'au&quot;\ dd/mm/yy;@"/>
    <numFmt numFmtId="195" formatCode="#,##0_ ;\-#,##0\ "/>
  </numFmts>
  <fonts count="49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0"/>
      <name val="Arial"/>
      <family val="2"/>
    </font>
    <font>
      <sz val="11"/>
      <color rgb="FF0070C0"/>
      <name val="Calibri"/>
      <family val="2"/>
      <scheme val="minor"/>
    </font>
    <font>
      <b/>
      <sz val="11"/>
      <color rgb="FF006600"/>
      <name val="Calibri"/>
      <family val="2"/>
      <scheme val="minor"/>
    </font>
    <font>
      <b/>
      <sz val="11"/>
      <color rgb="FF7030A0"/>
      <name val="Calibri"/>
      <family val="2"/>
      <scheme val="minor"/>
    </font>
    <font>
      <sz val="10"/>
      <name val="Arial"/>
      <family val="2"/>
    </font>
    <font>
      <i/>
      <sz val="11"/>
      <color rgb="FFFF0000"/>
      <name val="Calibri"/>
      <family val="2"/>
      <scheme val="minor"/>
    </font>
    <font>
      <b/>
      <sz val="11"/>
      <color indexed="12"/>
      <name val="Calibri"/>
      <family val="2"/>
      <scheme val="minor"/>
    </font>
    <font>
      <sz val="11"/>
      <color rgb="FFFF5050"/>
      <name val="Calibri"/>
      <family val="2"/>
      <scheme val="minor"/>
    </font>
    <font>
      <sz val="11"/>
      <color rgb="FF7030A0"/>
      <name val="Calibri"/>
      <family val="2"/>
      <scheme val="minor"/>
    </font>
    <font>
      <sz val="12"/>
      <name val="Arial"/>
      <family val="2"/>
    </font>
    <font>
      <i/>
      <sz val="11"/>
      <color theme="1"/>
      <name val="Calibri"/>
      <family val="2"/>
      <scheme val="minor"/>
    </font>
    <font>
      <b/>
      <sz val="12"/>
      <name val="Arial"/>
      <family val="2"/>
    </font>
    <font>
      <b/>
      <sz val="14"/>
      <color theme="0"/>
      <name val="Calibri"/>
      <family val="2"/>
      <scheme val="minor"/>
    </font>
    <font>
      <sz val="10"/>
      <name val="Verdana"/>
      <family val="2"/>
    </font>
    <font>
      <sz val="10"/>
      <name val="Verdana"/>
      <family val="2"/>
    </font>
    <font>
      <sz val="11"/>
      <name val="Verdana"/>
      <family val="2"/>
    </font>
    <font>
      <sz val="10"/>
      <color rgb="FF000000"/>
      <name val="Arial2"/>
    </font>
    <font>
      <sz val="10"/>
      <color rgb="FF000000"/>
      <name val="Arial1"/>
    </font>
    <font>
      <b/>
      <sz val="12"/>
      <name val="Calibri"/>
      <family val="2"/>
      <scheme val="minor"/>
    </font>
    <font>
      <b/>
      <sz val="12"/>
      <color indexed="9"/>
      <name val="Verdana"/>
      <family val="2"/>
    </font>
    <font>
      <b/>
      <i/>
      <sz val="12"/>
      <color indexed="9"/>
      <name val="Verdana"/>
      <family val="2"/>
    </font>
    <font>
      <sz val="8"/>
      <name val="Verdana"/>
      <family val="2"/>
    </font>
    <font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sz val="8"/>
      <color indexed="8"/>
      <name val="Verdana"/>
      <family val="2"/>
    </font>
    <font>
      <b/>
      <sz val="8"/>
      <color indexed="8"/>
      <name val="Verdana"/>
      <family val="2"/>
    </font>
    <font>
      <sz val="10"/>
      <color theme="1"/>
      <name val="Calibri"/>
      <family val="2"/>
      <scheme val="minor"/>
    </font>
    <font>
      <b/>
      <sz val="12"/>
      <color rgb="FFFF0000"/>
      <name val="Verdana"/>
      <family val="2"/>
    </font>
    <font>
      <b/>
      <i/>
      <sz val="12"/>
      <color rgb="FFFF0000"/>
      <name val="Verdana"/>
      <family val="2"/>
    </font>
    <font>
      <sz val="10"/>
      <name val="Arial"/>
      <family val="2"/>
    </font>
    <font>
      <i/>
      <sz val="11"/>
      <name val="Calibri"/>
      <family val="2"/>
      <scheme val="minor"/>
    </font>
    <font>
      <b/>
      <sz val="12"/>
      <name val="Verdana"/>
      <family val="2"/>
    </font>
    <font>
      <sz val="11"/>
      <color indexed="8"/>
      <name val="Calibri"/>
      <family val="2"/>
      <scheme val="minor"/>
    </font>
    <font>
      <b/>
      <i/>
      <sz val="12"/>
      <name val="Verdana"/>
      <family val="2"/>
    </font>
    <font>
      <sz val="10"/>
      <name val="Calibri"/>
      <family val="2"/>
      <scheme val="minor"/>
    </font>
    <font>
      <b/>
      <sz val="12"/>
      <color theme="0"/>
      <name val="Verdana"/>
      <family val="2"/>
    </font>
    <font>
      <b/>
      <i/>
      <sz val="12"/>
      <color theme="0"/>
      <name val="Verdana"/>
      <family val="2"/>
    </font>
  </fonts>
  <fills count="5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EB9C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08E61D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lightGray">
        <bgColor theme="6" tint="0.39994506668294322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rgb="FF7030A0"/>
        <bgColor indexed="64"/>
      </patternFill>
    </fill>
    <fill>
      <patternFill patternType="gray0625">
        <bgColor rgb="FF00B0F0"/>
      </patternFill>
    </fill>
    <fill>
      <patternFill patternType="gray0625">
        <bgColor theme="1" tint="0.499984740745262"/>
      </patternFill>
    </fill>
    <fill>
      <patternFill patternType="solid">
        <fgColor theme="5" tint="0.79998168889431442"/>
        <bgColor indexed="64"/>
      </patternFill>
    </fill>
    <fill>
      <patternFill patternType="gray0625">
        <bgColor theme="6" tint="0.79998168889431442"/>
      </patternFill>
    </fill>
    <fill>
      <patternFill patternType="gray0625">
        <bgColor theme="4" tint="0.79998168889431442"/>
      </patternFill>
    </fill>
    <fill>
      <patternFill patternType="solid">
        <fgColor rgb="FFCAC0D4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gray0625">
        <bgColor theme="0" tint="-0.499984740745262"/>
      </patternFill>
    </fill>
    <fill>
      <patternFill patternType="solid">
        <fgColor rgb="FFFF9999"/>
        <bgColor indexed="64"/>
      </patternFill>
    </fill>
    <fill>
      <patternFill patternType="gray0625">
        <bgColor theme="0"/>
      </patternFill>
    </fill>
  </fills>
  <borders count="3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FF0000"/>
      </left>
      <right style="medium">
        <color rgb="FFFF0000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rgb="FFFF0000"/>
      </left>
      <right style="thin">
        <color theme="1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rgb="FFFF0000"/>
      </left>
      <right style="medium">
        <color rgb="FFFF0000"/>
      </right>
      <top style="thin">
        <color auto="1"/>
      </top>
      <bottom style="thin">
        <color theme="1"/>
      </bottom>
      <diagonal/>
    </border>
    <border>
      <left style="medium">
        <color rgb="FFFF0000"/>
      </left>
      <right style="thick">
        <color rgb="FF00B050"/>
      </right>
      <top style="thin">
        <color indexed="64"/>
      </top>
      <bottom style="thin">
        <color indexed="64"/>
      </bottom>
      <diagonal/>
    </border>
    <border>
      <left style="medium">
        <color rgb="FFFF0000"/>
      </left>
      <right style="medium">
        <color rgb="FFFF0000"/>
      </right>
      <top style="thin">
        <color theme="1"/>
      </top>
      <bottom style="thin">
        <color indexed="64"/>
      </bottom>
      <diagonal/>
    </border>
    <border>
      <left style="medium">
        <color rgb="FFFF0000"/>
      </left>
      <right style="medium">
        <color rgb="FFFF0000"/>
      </right>
      <top/>
      <bottom style="thin">
        <color indexed="64"/>
      </bottom>
      <diagonal/>
    </border>
    <border>
      <left style="thin">
        <color auto="1"/>
      </left>
      <right style="medium">
        <color rgb="FFFF0000"/>
      </right>
      <top/>
      <bottom style="thin">
        <color auto="1"/>
      </bottom>
      <diagonal/>
    </border>
    <border>
      <left style="thin">
        <color auto="1"/>
      </left>
      <right style="medium">
        <color rgb="FFFF0000"/>
      </right>
      <top style="thin">
        <color auto="1"/>
      </top>
      <bottom style="thin">
        <color auto="1"/>
      </bottom>
      <diagonal/>
    </border>
    <border>
      <left style="medium">
        <color rgb="FFFF0000"/>
      </left>
      <right/>
      <top style="thin">
        <color indexed="64"/>
      </top>
      <bottom style="thin">
        <color indexed="64"/>
      </bottom>
      <diagonal/>
    </border>
    <border>
      <left style="thick">
        <color rgb="FF00B050"/>
      </left>
      <right style="thick">
        <color rgb="FFFF0000"/>
      </right>
      <top style="thin">
        <color auto="1"/>
      </top>
      <bottom style="thin">
        <color indexed="64"/>
      </bottom>
      <diagonal/>
    </border>
    <border>
      <left/>
      <right style="medium">
        <color rgb="FFFF0000"/>
      </right>
      <top style="thin">
        <color indexed="64"/>
      </top>
      <bottom style="thin">
        <color indexed="64"/>
      </bottom>
      <diagonal/>
    </border>
  </borders>
  <cellStyleXfs count="22">
    <xf numFmtId="0" fontId="0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" fillId="2" borderId="0" applyNumberFormat="0" applyBorder="0" applyAlignment="0" applyProtection="0"/>
    <xf numFmtId="0" fontId="3" fillId="3" borderId="0" applyNumberFormat="0" applyBorder="0" applyAlignment="0" applyProtection="0"/>
    <xf numFmtId="0" fontId="4" fillId="4" borderId="0" applyNumberFormat="0" applyBorder="0" applyAlignment="0" applyProtection="0"/>
    <xf numFmtId="0" fontId="1" fillId="5" borderId="0" applyNumberFormat="0" applyBorder="0" applyAlignment="0" applyProtection="0"/>
    <xf numFmtId="0" fontId="4" fillId="6" borderId="0" applyNumberFormat="0" applyBorder="0" applyAlignment="0" applyProtection="0"/>
    <xf numFmtId="0" fontId="4" fillId="7" borderId="0" applyNumberFormat="0" applyBorder="0" applyAlignment="0" applyProtection="0"/>
    <xf numFmtId="0" fontId="12" fillId="0" borderId="0"/>
    <xf numFmtId="0" fontId="16" fillId="0" borderId="0"/>
    <xf numFmtId="169" fontId="12" fillId="0" borderId="0" applyFont="0" applyFill="0" applyBorder="0" applyAlignment="0" applyProtection="0"/>
    <xf numFmtId="0" fontId="12" fillId="0" borderId="0"/>
    <xf numFmtId="0" fontId="12" fillId="0" borderId="0">
      <alignment vertical="center"/>
    </xf>
    <xf numFmtId="0" fontId="25" fillId="0" borderId="0"/>
    <xf numFmtId="9" fontId="26" fillId="0" borderId="0" applyFont="0" applyFill="0" applyBorder="0" applyAlignment="0" applyProtection="0"/>
    <xf numFmtId="0" fontId="28" fillId="0" borderId="0" applyNumberFormat="0" applyBorder="0" applyProtection="0"/>
    <xf numFmtId="0" fontId="29" fillId="0" borderId="0" applyNumberFormat="0" applyBorder="0" applyProtection="0"/>
    <xf numFmtId="0" fontId="29" fillId="0" borderId="0" applyNumberFormat="0" applyBorder="0" applyProtection="0"/>
    <xf numFmtId="0" fontId="41" fillId="0" borderId="0">
      <alignment vertical="center"/>
    </xf>
    <xf numFmtId="165" fontId="1" fillId="0" borderId="0" applyFont="0" applyFill="0" applyBorder="0" applyAlignment="0" applyProtection="0"/>
    <xf numFmtId="0" fontId="12" fillId="0" borderId="0"/>
  </cellStyleXfs>
  <cellXfs count="872">
    <xf numFmtId="0" fontId="0" fillId="0" borderId="0" xfId="0"/>
    <xf numFmtId="0" fontId="0" fillId="0" borderId="0" xfId="0" applyAlignment="1">
      <alignment horizontal="center"/>
    </xf>
    <xf numFmtId="0" fontId="8" fillId="8" borderId="0" xfId="5" applyFont="1" applyFill="1" applyBorder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Font="1" applyAlignment="1">
      <alignment horizontal="center"/>
    </xf>
    <xf numFmtId="0" fontId="0" fillId="8" borderId="1" xfId="0" applyFont="1" applyFill="1" applyBorder="1" applyAlignment="1">
      <alignment horizontal="center" vertical="center"/>
    </xf>
    <xf numFmtId="0" fontId="0" fillId="14" borderId="1" xfId="0" applyFont="1" applyFill="1" applyBorder="1" applyAlignment="1">
      <alignment horizontal="center" vertical="center"/>
    </xf>
    <xf numFmtId="4" fontId="0" fillId="8" borderId="1" xfId="0" applyNumberFormat="1" applyFont="1" applyFill="1" applyBorder="1" applyAlignment="1">
      <alignment horizontal="center" vertical="center"/>
    </xf>
    <xf numFmtId="167" fontId="0" fillId="11" borderId="1" xfId="0" applyNumberFormat="1" applyFont="1" applyFill="1" applyBorder="1" applyAlignment="1">
      <alignment horizontal="center" vertical="center"/>
    </xf>
    <xf numFmtId="167" fontId="0" fillId="12" borderId="1" xfId="0" applyNumberFormat="1" applyFont="1" applyFill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165" fontId="8" fillId="11" borderId="1" xfId="1" applyFont="1" applyFill="1" applyBorder="1" applyAlignment="1">
      <alignment horizontal="center" vertical="center" wrapText="1"/>
    </xf>
    <xf numFmtId="0" fontId="5" fillId="8" borderId="0" xfId="0" applyFont="1" applyFill="1" applyAlignment="1">
      <alignment horizontal="center" vertical="center" wrapText="1"/>
    </xf>
    <xf numFmtId="0" fontId="5" fillId="8" borderId="1" xfId="0" applyFont="1" applyFill="1" applyBorder="1" applyAlignment="1">
      <alignment horizontal="center"/>
    </xf>
    <xf numFmtId="0" fontId="8" fillId="8" borderId="1" xfId="0" applyFont="1" applyFill="1" applyBorder="1" applyAlignment="1">
      <alignment horizontal="center" vertical="center"/>
    </xf>
    <xf numFmtId="167" fontId="0" fillId="17" borderId="1" xfId="0" applyNumberFormat="1" applyFont="1" applyFill="1" applyBorder="1" applyAlignment="1">
      <alignment horizontal="center" vertical="center"/>
    </xf>
    <xf numFmtId="0" fontId="8" fillId="8" borderId="0" xfId="0" applyFont="1" applyFill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0" fillId="0" borderId="2" xfId="0" applyFont="1" applyBorder="1" applyAlignment="1">
      <alignment horizontal="center" vertical="center"/>
    </xf>
    <xf numFmtId="9" fontId="0" fillId="0" borderId="0" xfId="2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9" fontId="8" fillId="11" borderId="1" xfId="2" applyFont="1" applyFill="1" applyBorder="1" applyAlignment="1">
      <alignment horizontal="center" vertical="center" wrapText="1"/>
    </xf>
    <xf numFmtId="10" fontId="0" fillId="0" borderId="0" xfId="2" applyNumberFormat="1" applyFont="1" applyAlignment="1">
      <alignment horizontal="center" vertical="center"/>
    </xf>
    <xf numFmtId="0" fontId="13" fillId="0" borderId="0" xfId="0" applyFont="1" applyAlignment="1">
      <alignment horizontal="center" vertical="center"/>
    </xf>
    <xf numFmtId="0" fontId="6" fillId="0" borderId="0" xfId="0" applyFont="1"/>
    <xf numFmtId="9" fontId="0" fillId="0" borderId="0" xfId="2" applyFont="1" applyAlignment="1">
      <alignment horizontal="center"/>
    </xf>
    <xf numFmtId="167" fontId="0" fillId="17" borderId="6" xfId="0" applyNumberFormat="1" applyFont="1" applyFill="1" applyBorder="1" applyAlignment="1">
      <alignment horizontal="center" vertical="center"/>
    </xf>
    <xf numFmtId="0" fontId="8" fillId="14" borderId="1" xfId="0" applyFont="1" applyFill="1" applyBorder="1" applyAlignment="1">
      <alignment horizontal="center" vertical="center"/>
    </xf>
    <xf numFmtId="0" fontId="6" fillId="0" borderId="6" xfId="0" applyFont="1" applyBorder="1" applyAlignment="1">
      <alignment horizontal="center" vertical="center" wrapText="1"/>
    </xf>
    <xf numFmtId="0" fontId="0" fillId="8" borderId="6" xfId="0" applyFont="1" applyFill="1" applyBorder="1" applyAlignment="1">
      <alignment horizontal="center" vertical="center"/>
    </xf>
    <xf numFmtId="0" fontId="8" fillId="8" borderId="6" xfId="0" applyFont="1" applyFill="1" applyBorder="1" applyAlignment="1">
      <alignment horizontal="center" vertical="center"/>
    </xf>
    <xf numFmtId="0" fontId="0" fillId="8" borderId="6" xfId="0" applyFont="1" applyFill="1" applyBorder="1" applyAlignment="1">
      <alignment horizontal="center" vertical="center" wrapText="1"/>
    </xf>
    <xf numFmtId="0" fontId="8" fillId="8" borderId="6" xfId="0" applyFont="1" applyFill="1" applyBorder="1" applyAlignment="1">
      <alignment horizontal="center" vertical="center" wrapText="1"/>
    </xf>
    <xf numFmtId="4" fontId="0" fillId="8" borderId="6" xfId="0" applyNumberFormat="1" applyFont="1" applyFill="1" applyBorder="1" applyAlignment="1">
      <alignment horizontal="center" vertical="center"/>
    </xf>
    <xf numFmtId="4" fontId="8" fillId="8" borderId="6" xfId="0" applyNumberFormat="1" applyFont="1" applyFill="1" applyBorder="1" applyAlignment="1">
      <alignment horizontal="center" vertical="center"/>
    </xf>
    <xf numFmtId="3" fontId="0" fillId="8" borderId="6" xfId="0" applyNumberFormat="1" applyFont="1" applyFill="1" applyBorder="1" applyAlignment="1">
      <alignment horizontal="center" vertical="center"/>
    </xf>
    <xf numFmtId="3" fontId="8" fillId="8" borderId="6" xfId="0" applyNumberFormat="1" applyFont="1" applyFill="1" applyBorder="1" applyAlignment="1">
      <alignment horizontal="center" vertical="center"/>
    </xf>
    <xf numFmtId="3" fontId="0" fillId="8" borderId="6" xfId="0" applyNumberFormat="1" applyFont="1" applyFill="1" applyBorder="1" applyAlignment="1">
      <alignment horizontal="center" wrapText="1"/>
    </xf>
    <xf numFmtId="0" fontId="0" fillId="8" borderId="0" xfId="0" applyFont="1" applyFill="1" applyAlignment="1">
      <alignment horizontal="center" vertical="center"/>
    </xf>
    <xf numFmtId="49" fontId="0" fillId="8" borderId="6" xfId="0" applyNumberFormat="1" applyFont="1" applyFill="1" applyBorder="1" applyAlignment="1">
      <alignment horizontal="center" vertical="center"/>
    </xf>
    <xf numFmtId="0" fontId="0" fillId="14" borderId="6" xfId="0" applyFont="1" applyFill="1" applyBorder="1" applyAlignment="1">
      <alignment horizontal="center" vertical="center"/>
    </xf>
    <xf numFmtId="3" fontId="0" fillId="14" borderId="6" xfId="0" applyNumberFormat="1" applyFont="1" applyFill="1" applyBorder="1" applyAlignment="1">
      <alignment horizontal="center" vertical="center"/>
    </xf>
    <xf numFmtId="165" fontId="8" fillId="11" borderId="6" xfId="1" applyFont="1" applyFill="1" applyBorder="1" applyAlignment="1">
      <alignment horizontal="center" vertical="center" wrapText="1"/>
    </xf>
    <xf numFmtId="167" fontId="0" fillId="11" borderId="6" xfId="0" applyNumberFormat="1" applyFont="1" applyFill="1" applyBorder="1" applyAlignment="1">
      <alignment horizontal="center" vertical="center"/>
    </xf>
    <xf numFmtId="0" fontId="14" fillId="0" borderId="0" xfId="0" applyFont="1" applyAlignment="1">
      <alignment horizontal="center" vertical="center"/>
    </xf>
    <xf numFmtId="3" fontId="15" fillId="0" borderId="0" xfId="0" applyNumberFormat="1" applyFont="1" applyAlignment="1">
      <alignment horizontal="center" vertical="center"/>
    </xf>
    <xf numFmtId="0" fontId="15" fillId="0" borderId="0" xfId="0" applyFont="1" applyAlignment="1">
      <alignment horizontal="center" vertical="center" wrapText="1"/>
    </xf>
    <xf numFmtId="167" fontId="8" fillId="11" borderId="6" xfId="0" applyNumberFormat="1" applyFont="1" applyFill="1" applyBorder="1" applyAlignment="1">
      <alignment horizontal="center" vertical="center"/>
    </xf>
    <xf numFmtId="3" fontId="5" fillId="26" borderId="0" xfId="0" applyNumberFormat="1" applyFont="1" applyFill="1" applyAlignment="1">
      <alignment horizontal="center" vertical="center"/>
    </xf>
    <xf numFmtId="164" fontId="0" fillId="8" borderId="6" xfId="0" applyNumberFormat="1" applyFont="1" applyFill="1" applyBorder="1" applyAlignment="1">
      <alignment horizontal="center" vertical="center"/>
    </xf>
    <xf numFmtId="164" fontId="8" fillId="8" borderId="6" xfId="0" applyNumberFormat="1" applyFont="1" applyFill="1" applyBorder="1" applyAlignment="1">
      <alignment horizontal="center" vertical="center"/>
    </xf>
    <xf numFmtId="9" fontId="0" fillId="8" borderId="6" xfId="2" applyFont="1" applyFill="1" applyBorder="1" applyAlignment="1">
      <alignment horizontal="center" vertical="center"/>
    </xf>
    <xf numFmtId="9" fontId="8" fillId="8" borderId="6" xfId="2" applyFont="1" applyFill="1" applyBorder="1" applyAlignment="1">
      <alignment horizontal="center" vertical="center"/>
    </xf>
    <xf numFmtId="9" fontId="0" fillId="8" borderId="0" xfId="2" applyFont="1" applyFill="1" applyBorder="1" applyAlignment="1">
      <alignment horizontal="center"/>
    </xf>
    <xf numFmtId="167" fontId="8" fillId="17" borderId="6" xfId="0" applyNumberFormat="1" applyFont="1" applyFill="1" applyBorder="1" applyAlignment="1">
      <alignment horizontal="center" vertical="center"/>
    </xf>
    <xf numFmtId="0" fontId="5" fillId="8" borderId="1" xfId="0" applyFont="1" applyFill="1" applyBorder="1" applyAlignment="1">
      <alignment horizontal="center" vertical="center" wrapText="1"/>
    </xf>
    <xf numFmtId="0" fontId="6" fillId="8" borderId="6" xfId="0" applyFont="1" applyFill="1" applyBorder="1" applyAlignment="1">
      <alignment horizontal="center" vertical="center"/>
    </xf>
    <xf numFmtId="167" fontId="0" fillId="12" borderId="6" xfId="0" applyNumberFormat="1" applyFont="1" applyFill="1" applyBorder="1" applyAlignment="1">
      <alignment horizontal="center" vertical="center"/>
    </xf>
    <xf numFmtId="9" fontId="8" fillId="11" borderId="6" xfId="2" applyFont="1" applyFill="1" applyBorder="1" applyAlignment="1">
      <alignment horizontal="center" vertical="center" wrapText="1"/>
    </xf>
    <xf numFmtId="167" fontId="0" fillId="10" borderId="6" xfId="0" applyNumberFormat="1" applyFont="1" applyFill="1" applyBorder="1" applyAlignment="1">
      <alignment horizontal="center" vertical="center"/>
    </xf>
    <xf numFmtId="165" fontId="8" fillId="23" borderId="6" xfId="1" applyFont="1" applyFill="1" applyBorder="1" applyAlignment="1">
      <alignment horizontal="center" vertical="center" wrapText="1"/>
    </xf>
    <xf numFmtId="0" fontId="5" fillId="8" borderId="6" xfId="0" applyFont="1" applyFill="1" applyBorder="1" applyAlignment="1">
      <alignment horizontal="center" vertical="center" wrapText="1"/>
    </xf>
    <xf numFmtId="14" fontId="8" fillId="20" borderId="6" xfId="5" applyNumberFormat="1" applyFont="1" applyFill="1" applyBorder="1" applyAlignment="1">
      <alignment horizontal="center" vertical="center"/>
    </xf>
    <xf numFmtId="0" fontId="5" fillId="15" borderId="6" xfId="7" applyFont="1" applyFill="1" applyBorder="1" applyAlignment="1">
      <alignment horizontal="center" vertical="center" wrapText="1"/>
    </xf>
    <xf numFmtId="9" fontId="0" fillId="0" borderId="0" xfId="2" applyFont="1" applyBorder="1" applyAlignment="1">
      <alignment horizontal="center"/>
    </xf>
    <xf numFmtId="0" fontId="8" fillId="9" borderId="1" xfId="8" applyFont="1" applyFill="1" applyBorder="1" applyAlignment="1">
      <alignment horizontal="center" vertical="center"/>
    </xf>
    <xf numFmtId="166" fontId="8" fillId="9" borderId="1" xfId="8" applyNumberFormat="1" applyFont="1" applyFill="1" applyBorder="1" applyAlignment="1">
      <alignment horizontal="center" vertical="center"/>
    </xf>
    <xf numFmtId="164" fontId="0" fillId="8" borderId="1" xfId="0" applyNumberFormat="1" applyFont="1" applyFill="1" applyBorder="1" applyAlignment="1">
      <alignment horizontal="center" vertical="center"/>
    </xf>
    <xf numFmtId="9" fontId="0" fillId="14" borderId="6" xfId="2" applyFont="1" applyFill="1" applyBorder="1" applyAlignment="1">
      <alignment horizontal="center" vertical="center"/>
    </xf>
    <xf numFmtId="0" fontId="8" fillId="19" borderId="6" xfId="4" applyFont="1" applyFill="1" applyBorder="1" applyAlignment="1">
      <alignment horizontal="center" vertical="center"/>
    </xf>
    <xf numFmtId="0" fontId="8" fillId="15" borderId="6" xfId="7" applyFont="1" applyFill="1" applyBorder="1" applyAlignment="1">
      <alignment horizontal="center" vertical="center" wrapText="1"/>
    </xf>
    <xf numFmtId="14" fontId="0" fillId="29" borderId="6" xfId="0" applyNumberFormat="1" applyFont="1" applyFill="1" applyBorder="1" applyAlignment="1">
      <alignment horizontal="center" vertical="center"/>
    </xf>
    <xf numFmtId="0" fontId="0" fillId="29" borderId="6" xfId="0" applyFont="1" applyFill="1" applyBorder="1" applyAlignment="1">
      <alignment horizontal="center" vertical="center"/>
    </xf>
    <xf numFmtId="166" fontId="8" fillId="29" borderId="6" xfId="1" applyNumberFormat="1" applyFont="1" applyFill="1" applyBorder="1" applyAlignment="1">
      <alignment horizontal="center" vertical="center"/>
    </xf>
    <xf numFmtId="1" fontId="8" fillId="29" borderId="6" xfId="1" applyNumberFormat="1" applyFont="1" applyFill="1" applyBorder="1" applyAlignment="1">
      <alignment horizontal="center" vertical="center"/>
    </xf>
    <xf numFmtId="166" fontId="9" fillId="0" borderId="6" xfId="0" applyNumberFormat="1" applyFont="1" applyBorder="1" applyAlignment="1">
      <alignment horizontal="center" vertical="center"/>
    </xf>
    <xf numFmtId="166" fontId="8" fillId="0" borderId="6" xfId="0" applyNumberFormat="1" applyFont="1" applyBorder="1" applyAlignment="1">
      <alignment horizontal="center" vertical="center" wrapText="1"/>
    </xf>
    <xf numFmtId="166" fontId="8" fillId="0" borderId="6" xfId="0" applyNumberFormat="1" applyFont="1" applyBorder="1" applyAlignment="1">
      <alignment horizontal="center" vertical="center"/>
    </xf>
    <xf numFmtId="166" fontId="0" fillId="8" borderId="6" xfId="0" applyNumberFormat="1" applyFont="1" applyFill="1" applyBorder="1" applyAlignment="1">
      <alignment horizontal="center" vertical="center"/>
    </xf>
    <xf numFmtId="166" fontId="0" fillId="29" borderId="6" xfId="0" applyNumberFormat="1" applyFont="1" applyFill="1" applyBorder="1" applyAlignment="1">
      <alignment horizontal="center" vertical="center"/>
    </xf>
    <xf numFmtId="166" fontId="8" fillId="8" borderId="6" xfId="0" applyNumberFormat="1" applyFont="1" applyFill="1" applyBorder="1" applyAlignment="1">
      <alignment horizontal="center" vertical="center"/>
    </xf>
    <xf numFmtId="1" fontId="0" fillId="29" borderId="6" xfId="0" applyNumberFormat="1" applyFont="1" applyFill="1" applyBorder="1" applyAlignment="1">
      <alignment horizontal="center" vertical="center"/>
    </xf>
    <xf numFmtId="166" fontId="0" fillId="29" borderId="6" xfId="1" applyNumberFormat="1" applyFont="1" applyFill="1" applyBorder="1" applyAlignment="1">
      <alignment horizontal="center" vertical="center"/>
    </xf>
    <xf numFmtId="0" fontId="0" fillId="0" borderId="0" xfId="0" applyFont="1"/>
    <xf numFmtId="0" fontId="0" fillId="8" borderId="0" xfId="0" applyFont="1" applyFill="1" applyBorder="1" applyAlignment="1">
      <alignment horizontal="center"/>
    </xf>
    <xf numFmtId="0" fontId="0" fillId="8" borderId="0" xfId="0" applyFont="1" applyFill="1" applyBorder="1" applyAlignment="1">
      <alignment horizontal="center" vertical="center"/>
    </xf>
    <xf numFmtId="164" fontId="0" fillId="8" borderId="0" xfId="0" applyNumberFormat="1" applyFont="1" applyFill="1" applyBorder="1" applyAlignment="1">
      <alignment horizontal="center"/>
    </xf>
    <xf numFmtId="167" fontId="0" fillId="0" borderId="0" xfId="0" applyNumberFormat="1" applyFont="1" applyBorder="1" applyAlignment="1">
      <alignment horizontal="center"/>
    </xf>
    <xf numFmtId="0" fontId="0" fillId="0" borderId="0" xfId="0" applyFont="1" applyBorder="1" applyAlignment="1">
      <alignment horizontal="center" vertical="center"/>
    </xf>
    <xf numFmtId="0" fontId="0" fillId="0" borderId="0" xfId="0" applyFont="1" applyBorder="1" applyAlignment="1">
      <alignment horizontal="center"/>
    </xf>
    <xf numFmtId="164" fontId="0" fillId="0" borderId="0" xfId="0" applyNumberFormat="1" applyFont="1" applyBorder="1" applyAlignment="1">
      <alignment horizontal="center"/>
    </xf>
    <xf numFmtId="0" fontId="0" fillId="22" borderId="0" xfId="0" applyFont="1" applyFill="1" applyBorder="1" applyAlignment="1">
      <alignment horizontal="center"/>
    </xf>
    <xf numFmtId="9" fontId="0" fillId="0" borderId="0" xfId="0" applyNumberFormat="1" applyFont="1" applyAlignment="1">
      <alignment horizontal="center"/>
    </xf>
    <xf numFmtId="164" fontId="0" fillId="0" borderId="0" xfId="0" applyNumberFormat="1" applyFont="1" applyAlignment="1">
      <alignment horizontal="center"/>
    </xf>
    <xf numFmtId="164" fontId="0" fillId="0" borderId="0" xfId="0" applyNumberFormat="1" applyFont="1" applyAlignment="1">
      <alignment horizontal="center" vertical="center"/>
    </xf>
    <xf numFmtId="167" fontId="0" fillId="0" borderId="0" xfId="0" applyNumberFormat="1" applyFont="1" applyAlignment="1">
      <alignment horizontal="center" vertical="center"/>
    </xf>
    <xf numFmtId="3" fontId="0" fillId="0" borderId="0" xfId="0" applyNumberFormat="1" applyFont="1" applyAlignment="1">
      <alignment horizontal="center" vertical="center"/>
    </xf>
    <xf numFmtId="0" fontId="0" fillId="0" borderId="0" xfId="0" applyFont="1" applyAlignment="1">
      <alignment horizontal="left" vertical="center"/>
    </xf>
    <xf numFmtId="0" fontId="8" fillId="0" borderId="0" xfId="0" applyFont="1" applyAlignment="1">
      <alignment vertical="center"/>
    </xf>
    <xf numFmtId="0" fontId="18" fillId="13" borderId="0" xfId="0" applyFont="1" applyFill="1" applyAlignment="1">
      <alignment horizontal="center" vertical="center"/>
    </xf>
    <xf numFmtId="0" fontId="0" fillId="0" borderId="0" xfId="0" applyFont="1" applyAlignment="1">
      <alignment horizontal="left"/>
    </xf>
    <xf numFmtId="0" fontId="0" fillId="0" borderId="0" xfId="0" applyNumberFormat="1" applyFont="1"/>
    <xf numFmtId="0" fontId="0" fillId="0" borderId="0" xfId="0" applyFont="1" applyAlignment="1">
      <alignment horizontal="left" indent="1"/>
    </xf>
    <xf numFmtId="0" fontId="5" fillId="8" borderId="0" xfId="0" applyFont="1" applyFill="1" applyBorder="1" applyAlignment="1">
      <alignment horizontal="center"/>
    </xf>
    <xf numFmtId="0" fontId="8" fillId="0" borderId="4" xfId="0" applyFont="1" applyBorder="1" applyAlignment="1">
      <alignment horizontal="center" vertical="center"/>
    </xf>
    <xf numFmtId="0" fontId="8" fillId="0" borderId="5" xfId="0" applyFont="1" applyBorder="1" applyAlignment="1">
      <alignment horizontal="center" vertical="center"/>
    </xf>
    <xf numFmtId="0" fontId="5" fillId="9" borderId="1" xfId="3" applyFont="1" applyFill="1" applyBorder="1" applyAlignment="1">
      <alignment horizontal="center" vertical="center" wrapText="1"/>
    </xf>
    <xf numFmtId="14" fontId="8" fillId="15" borderId="1" xfId="7" applyNumberFormat="1" applyFont="1" applyFill="1" applyBorder="1" applyAlignment="1">
      <alignment horizontal="center" vertical="center"/>
    </xf>
    <xf numFmtId="14" fontId="8" fillId="15" borderId="6" xfId="7" applyNumberFormat="1" applyFont="1" applyFill="1" applyBorder="1" applyAlignment="1">
      <alignment horizontal="center" vertical="center"/>
    </xf>
    <xf numFmtId="166" fontId="8" fillId="9" borderId="1" xfId="6" applyNumberFormat="1" applyFont="1" applyFill="1" applyBorder="1" applyAlignment="1">
      <alignment horizontal="center" vertical="center"/>
    </xf>
    <xf numFmtId="14" fontId="8" fillId="15" borderId="6" xfId="7" applyNumberFormat="1" applyFont="1" applyFill="1" applyBorder="1" applyAlignment="1">
      <alignment horizontal="center" vertical="center" wrapText="1"/>
    </xf>
    <xf numFmtId="0" fontId="8" fillId="15" borderId="6" xfId="7" applyFont="1" applyFill="1" applyBorder="1" applyAlignment="1">
      <alignment horizontal="center" vertical="center"/>
    </xf>
    <xf numFmtId="166" fontId="8" fillId="9" borderId="6" xfId="6" applyNumberFormat="1" applyFont="1" applyFill="1" applyBorder="1" applyAlignment="1">
      <alignment horizontal="center" vertical="center"/>
    </xf>
    <xf numFmtId="0" fontId="8" fillId="9" borderId="6" xfId="8" applyFont="1" applyFill="1" applyBorder="1" applyAlignment="1">
      <alignment horizontal="center" vertical="center"/>
    </xf>
    <xf numFmtId="166" fontId="8" fillId="9" borderId="6" xfId="8" applyNumberFormat="1" applyFont="1" applyFill="1" applyBorder="1" applyAlignment="1">
      <alignment horizontal="center" vertical="center"/>
    </xf>
    <xf numFmtId="0" fontId="8" fillId="8" borderId="0" xfId="7" applyFont="1" applyFill="1" applyBorder="1" applyAlignment="1">
      <alignment horizontal="center"/>
    </xf>
    <xf numFmtId="0" fontId="8" fillId="8" borderId="0" xfId="3" applyFont="1" applyFill="1" applyBorder="1" applyAlignment="1">
      <alignment horizontal="center"/>
    </xf>
    <xf numFmtId="0" fontId="8" fillId="0" borderId="0" xfId="0" applyFont="1" applyBorder="1" applyAlignment="1">
      <alignment horizontal="center"/>
    </xf>
    <xf numFmtId="0" fontId="8" fillId="0" borderId="0" xfId="0" applyFont="1" applyAlignment="1">
      <alignment horizontal="center"/>
    </xf>
    <xf numFmtId="0" fontId="8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 wrapText="1"/>
    </xf>
    <xf numFmtId="166" fontId="0" fillId="29" borderId="6" xfId="0" applyNumberFormat="1" applyFont="1" applyFill="1" applyBorder="1" applyAlignment="1">
      <alignment horizontal="center" vertical="center" wrapText="1"/>
    </xf>
    <xf numFmtId="164" fontId="0" fillId="14" borderId="6" xfId="0" applyNumberFormat="1" applyFont="1" applyFill="1" applyBorder="1" applyAlignment="1">
      <alignment horizontal="center" vertical="center"/>
    </xf>
    <xf numFmtId="166" fontId="0" fillId="8" borderId="6" xfId="0" applyNumberFormat="1" applyFont="1" applyFill="1" applyBorder="1" applyAlignment="1">
      <alignment horizontal="center" vertical="center" wrapText="1"/>
    </xf>
    <xf numFmtId="14" fontId="0" fillId="8" borderId="6" xfId="0" applyNumberFormat="1" applyFont="1" applyFill="1" applyBorder="1" applyAlignment="1">
      <alignment horizontal="center" vertical="center"/>
    </xf>
    <xf numFmtId="166" fontId="8" fillId="29" borderId="6" xfId="1" applyNumberFormat="1" applyFont="1" applyFill="1" applyBorder="1" applyAlignment="1">
      <alignment horizontal="center" vertical="center" wrapText="1"/>
    </xf>
    <xf numFmtId="166" fontId="9" fillId="8" borderId="6" xfId="1" applyNumberFormat="1" applyFont="1" applyFill="1" applyBorder="1" applyAlignment="1">
      <alignment horizontal="center" vertical="center"/>
    </xf>
    <xf numFmtId="166" fontId="0" fillId="8" borderId="6" xfId="2" applyNumberFormat="1" applyFont="1" applyFill="1" applyBorder="1" applyAlignment="1">
      <alignment horizontal="center" vertical="center"/>
    </xf>
    <xf numFmtId="14" fontId="8" fillId="8" borderId="6" xfId="0" applyNumberFormat="1" applyFont="1" applyFill="1" applyBorder="1" applyAlignment="1">
      <alignment horizontal="center" vertical="center"/>
    </xf>
    <xf numFmtId="1" fontId="0" fillId="8" borderId="6" xfId="0" applyNumberFormat="1" applyFont="1" applyFill="1" applyBorder="1" applyAlignment="1">
      <alignment horizontal="center" vertical="center"/>
    </xf>
    <xf numFmtId="166" fontId="0" fillId="30" borderId="6" xfId="0" applyNumberFormat="1" applyFont="1" applyFill="1" applyBorder="1" applyAlignment="1">
      <alignment horizontal="center" vertical="center"/>
    </xf>
    <xf numFmtId="0" fontId="0" fillId="8" borderId="0" xfId="0" applyFont="1" applyFill="1" applyBorder="1" applyAlignment="1">
      <alignment horizontal="center" wrapText="1"/>
    </xf>
    <xf numFmtId="0" fontId="0" fillId="0" borderId="0" xfId="0" applyFont="1" applyBorder="1" applyAlignment="1">
      <alignment horizontal="center" wrapText="1"/>
    </xf>
    <xf numFmtId="0" fontId="0" fillId="0" borderId="0" xfId="0" applyFont="1" applyAlignment="1">
      <alignment horizontal="center" vertical="center" wrapText="1"/>
    </xf>
    <xf numFmtId="9" fontId="0" fillId="0" borderId="0" xfId="2" applyFont="1" applyAlignment="1">
      <alignment horizontal="center" vertical="center" wrapText="1"/>
    </xf>
    <xf numFmtId="166" fontId="8" fillId="30" borderId="6" xfId="0" applyNumberFormat="1" applyFont="1" applyFill="1" applyBorder="1" applyAlignment="1">
      <alignment horizontal="center" vertical="center" wrapText="1"/>
    </xf>
    <xf numFmtId="14" fontId="8" fillId="35" borderId="1" xfId="7" applyNumberFormat="1" applyFont="1" applyFill="1" applyBorder="1" applyAlignment="1">
      <alignment horizontal="center" vertical="center"/>
    </xf>
    <xf numFmtId="14" fontId="8" fillId="35" borderId="6" xfId="7" applyNumberFormat="1" applyFont="1" applyFill="1" applyBorder="1" applyAlignment="1">
      <alignment horizontal="center" vertical="center"/>
    </xf>
    <xf numFmtId="14" fontId="8" fillId="34" borderId="6" xfId="5" applyNumberFormat="1" applyFont="1" applyFill="1" applyBorder="1" applyAlignment="1">
      <alignment horizontal="center" vertical="center"/>
    </xf>
    <xf numFmtId="0" fontId="5" fillId="9" borderId="6" xfId="0" applyFont="1" applyFill="1" applyBorder="1" applyAlignment="1">
      <alignment horizontal="center" vertical="center" wrapText="1"/>
    </xf>
    <xf numFmtId="3" fontId="0" fillId="9" borderId="6" xfId="0" applyNumberFormat="1" applyFont="1" applyFill="1" applyBorder="1" applyAlignment="1">
      <alignment horizontal="center" vertical="center"/>
    </xf>
    <xf numFmtId="0" fontId="0" fillId="9" borderId="6" xfId="0" applyFont="1" applyFill="1" applyBorder="1" applyAlignment="1">
      <alignment horizontal="center" vertical="center"/>
    </xf>
    <xf numFmtId="9" fontId="0" fillId="9" borderId="6" xfId="2" applyFont="1" applyFill="1" applyBorder="1" applyAlignment="1">
      <alignment horizontal="center" vertical="center"/>
    </xf>
    <xf numFmtId="0" fontId="0" fillId="9" borderId="1" xfId="0" applyFont="1" applyFill="1" applyBorder="1" applyAlignment="1">
      <alignment horizontal="center" vertical="center"/>
    </xf>
    <xf numFmtId="9" fontId="0" fillId="9" borderId="1" xfId="2" applyFont="1" applyFill="1" applyBorder="1" applyAlignment="1">
      <alignment horizontal="center" vertical="center"/>
    </xf>
    <xf numFmtId="3" fontId="8" fillId="9" borderId="6" xfId="0" applyNumberFormat="1" applyFont="1" applyFill="1" applyBorder="1" applyAlignment="1">
      <alignment horizontal="center" vertical="center" wrapText="1"/>
    </xf>
    <xf numFmtId="3" fontId="0" fillId="9" borderId="6" xfId="0" applyNumberFormat="1" applyFont="1" applyFill="1" applyBorder="1" applyAlignment="1">
      <alignment horizontal="center" vertical="center" wrapText="1"/>
    </xf>
    <xf numFmtId="0" fontId="8" fillId="9" borderId="6" xfId="0" applyFont="1" applyFill="1" applyBorder="1" applyAlignment="1">
      <alignment horizontal="center" vertical="center" wrapText="1"/>
    </xf>
    <xf numFmtId="9" fontId="8" fillId="9" borderId="6" xfId="2" applyFont="1" applyFill="1" applyBorder="1" applyAlignment="1">
      <alignment horizontal="center" vertical="center"/>
    </xf>
    <xf numFmtId="0" fontId="0" fillId="9" borderId="6" xfId="0" applyFont="1" applyFill="1" applyBorder="1" applyAlignment="1">
      <alignment horizontal="center" vertical="center" wrapText="1"/>
    </xf>
    <xf numFmtId="3" fontId="8" fillId="9" borderId="6" xfId="0" applyNumberFormat="1" applyFont="1" applyFill="1" applyBorder="1" applyAlignment="1">
      <alignment horizontal="center" vertical="center"/>
    </xf>
    <xf numFmtId="0" fontId="8" fillId="9" borderId="6" xfId="0" applyFont="1" applyFill="1" applyBorder="1" applyAlignment="1">
      <alignment horizontal="center" vertical="center"/>
    </xf>
    <xf numFmtId="1" fontId="0" fillId="8" borderId="0" xfId="0" applyNumberFormat="1" applyFont="1" applyFill="1" applyBorder="1" applyAlignment="1">
      <alignment horizontal="center"/>
    </xf>
    <xf numFmtId="1" fontId="0" fillId="0" borderId="0" xfId="0" applyNumberFormat="1" applyFont="1" applyBorder="1" applyAlignment="1">
      <alignment horizontal="center"/>
    </xf>
    <xf numFmtId="1" fontId="0" fillId="0" borderId="0" xfId="0" applyNumberFormat="1" applyFont="1" applyAlignment="1">
      <alignment horizontal="center"/>
    </xf>
    <xf numFmtId="1" fontId="0" fillId="0" borderId="0" xfId="0" applyNumberFormat="1" applyFont="1" applyAlignment="1">
      <alignment horizontal="center" vertical="center"/>
    </xf>
    <xf numFmtId="1" fontId="7" fillId="0" borderId="0" xfId="0" applyNumberFormat="1" applyFont="1" applyBorder="1" applyAlignment="1">
      <alignment horizontal="center" vertical="center"/>
    </xf>
    <xf numFmtId="3" fontId="0" fillId="29" borderId="6" xfId="0" applyNumberFormat="1" applyFont="1" applyFill="1" applyBorder="1" applyAlignment="1">
      <alignment horizontal="center" vertical="center"/>
    </xf>
    <xf numFmtId="3" fontId="8" fillId="8" borderId="6" xfId="1" applyNumberFormat="1" applyFont="1" applyFill="1" applyBorder="1" applyAlignment="1">
      <alignment horizontal="center" vertical="center"/>
    </xf>
    <xf numFmtId="166" fontId="0" fillId="30" borderId="6" xfId="0" applyNumberFormat="1" applyFont="1" applyFill="1" applyBorder="1" applyAlignment="1">
      <alignment horizontal="center" vertical="center" wrapText="1"/>
    </xf>
    <xf numFmtId="166" fontId="8" fillId="30" borderId="6" xfId="1" applyNumberFormat="1" applyFont="1" applyFill="1" applyBorder="1" applyAlignment="1">
      <alignment horizontal="center" vertical="center"/>
    </xf>
    <xf numFmtId="166" fontId="8" fillId="30" borderId="6" xfId="0" applyNumberFormat="1" applyFont="1" applyFill="1" applyBorder="1" applyAlignment="1">
      <alignment horizontal="center" vertical="center"/>
    </xf>
    <xf numFmtId="14" fontId="0" fillId="30" borderId="6" xfId="0" applyNumberFormat="1" applyFont="1" applyFill="1" applyBorder="1" applyAlignment="1">
      <alignment horizontal="center" vertical="center"/>
    </xf>
    <xf numFmtId="14" fontId="0" fillId="30" borderId="6" xfId="0" applyNumberFormat="1" applyFont="1" applyFill="1" applyBorder="1" applyAlignment="1">
      <alignment horizontal="center" vertical="center" wrapText="1"/>
    </xf>
    <xf numFmtId="14" fontId="0" fillId="30" borderId="6" xfId="2" applyNumberFormat="1" applyFont="1" applyFill="1" applyBorder="1" applyAlignment="1">
      <alignment horizontal="center" vertical="center"/>
    </xf>
    <xf numFmtId="14" fontId="8" fillId="30" borderId="6" xfId="0" applyNumberFormat="1" applyFont="1" applyFill="1" applyBorder="1" applyAlignment="1">
      <alignment horizontal="center" vertical="center"/>
    </xf>
    <xf numFmtId="1" fontId="8" fillId="30" borderId="6" xfId="1" applyNumberFormat="1" applyFont="1" applyFill="1" applyBorder="1" applyAlignment="1">
      <alignment horizontal="center" vertical="center"/>
    </xf>
    <xf numFmtId="1" fontId="19" fillId="8" borderId="6" xfId="1" applyNumberFormat="1" applyFont="1" applyFill="1" applyBorder="1" applyAlignment="1">
      <alignment horizontal="center" vertical="center"/>
    </xf>
    <xf numFmtId="1" fontId="1" fillId="30" borderId="6" xfId="1" applyNumberFormat="1" applyFont="1" applyFill="1" applyBorder="1" applyAlignment="1">
      <alignment horizontal="center" vertical="center"/>
    </xf>
    <xf numFmtId="1" fontId="0" fillId="30" borderId="6" xfId="0" applyNumberFormat="1" applyFont="1" applyFill="1" applyBorder="1" applyAlignment="1">
      <alignment horizontal="center" vertical="center"/>
    </xf>
    <xf numFmtId="1" fontId="19" fillId="8" borderId="6" xfId="0" applyNumberFormat="1" applyFont="1" applyFill="1" applyBorder="1" applyAlignment="1">
      <alignment horizontal="center" vertical="center"/>
    </xf>
    <xf numFmtId="3" fontId="19" fillId="8" borderId="6" xfId="0" applyNumberFormat="1" applyFont="1" applyFill="1" applyBorder="1" applyAlignment="1">
      <alignment horizontal="center" vertical="center"/>
    </xf>
    <xf numFmtId="3" fontId="20" fillId="0" borderId="0" xfId="0" applyNumberFormat="1" applyFont="1" applyAlignment="1">
      <alignment horizontal="center" vertical="center"/>
    </xf>
    <xf numFmtId="3" fontId="5" fillId="0" borderId="0" xfId="0" applyNumberFormat="1" applyFont="1" applyAlignment="1">
      <alignment horizontal="center" vertical="center" wrapText="1"/>
    </xf>
    <xf numFmtId="3" fontId="8" fillId="0" borderId="0" xfId="0" applyNumberFormat="1" applyFont="1" applyAlignment="1">
      <alignment horizontal="center" vertical="center" wrapText="1"/>
    </xf>
    <xf numFmtId="4" fontId="0" fillId="0" borderId="0" xfId="0" applyNumberFormat="1" applyFont="1" applyAlignment="1">
      <alignment horizontal="center"/>
    </xf>
    <xf numFmtId="0" fontId="5" fillId="0" borderId="0" xfId="0" applyFont="1" applyAlignment="1">
      <alignment horizontal="center" vertical="center"/>
    </xf>
    <xf numFmtId="1" fontId="8" fillId="29" borderId="6" xfId="0" applyNumberFormat="1" applyFont="1" applyFill="1" applyBorder="1" applyAlignment="1">
      <alignment horizontal="center" vertical="center"/>
    </xf>
    <xf numFmtId="0" fontId="6" fillId="9" borderId="6" xfId="0" applyFont="1" applyFill="1" applyBorder="1" applyAlignment="1">
      <alignment horizontal="center" vertical="center" wrapText="1"/>
    </xf>
    <xf numFmtId="0" fontId="8" fillId="14" borderId="6" xfId="0" applyFont="1" applyFill="1" applyBorder="1" applyAlignment="1">
      <alignment horizontal="center" vertical="center"/>
    </xf>
    <xf numFmtId="9" fontId="1" fillId="0" borderId="0" xfId="2" applyFont="1" applyAlignment="1">
      <alignment horizontal="center" vertical="center"/>
    </xf>
    <xf numFmtId="14" fontId="9" fillId="8" borderId="6" xfId="0" applyNumberFormat="1" applyFont="1" applyFill="1" applyBorder="1" applyAlignment="1">
      <alignment horizontal="center" vertical="center"/>
    </xf>
    <xf numFmtId="171" fontId="9" fillId="0" borderId="6" xfId="0" applyNumberFormat="1" applyFont="1" applyBorder="1" applyAlignment="1">
      <alignment horizontal="center" vertical="center" wrapText="1"/>
    </xf>
    <xf numFmtId="0" fontId="0" fillId="27" borderId="0" xfId="0" applyFont="1" applyFill="1" applyAlignment="1">
      <alignment horizontal="center" vertical="center"/>
    </xf>
    <xf numFmtId="0" fontId="6" fillId="27" borderId="0" xfId="0" applyFont="1" applyFill="1" applyAlignment="1">
      <alignment horizontal="center" vertical="center"/>
    </xf>
    <xf numFmtId="0" fontId="0" fillId="27" borderId="6" xfId="0" applyFont="1" applyFill="1" applyBorder="1" applyAlignment="1">
      <alignment horizontal="center" vertical="center"/>
    </xf>
    <xf numFmtId="0" fontId="21" fillId="27" borderId="9" xfId="12" applyFont="1" applyFill="1" applyBorder="1"/>
    <xf numFmtId="0" fontId="21" fillId="27" borderId="9" xfId="9" applyFont="1" applyFill="1" applyBorder="1"/>
    <xf numFmtId="0" fontId="0" fillId="0" borderId="6" xfId="0" applyFont="1" applyBorder="1" applyAlignment="1">
      <alignment horizontal="center" vertical="center"/>
    </xf>
    <xf numFmtId="166" fontId="0" fillId="0" borderId="6" xfId="0" applyNumberFormat="1" applyFont="1" applyBorder="1" applyAlignment="1">
      <alignment horizontal="center" vertical="center"/>
    </xf>
    <xf numFmtId="0" fontId="0" fillId="31" borderId="6" xfId="0" applyFont="1" applyFill="1" applyBorder="1" applyAlignment="1">
      <alignment horizontal="center" vertical="center"/>
    </xf>
    <xf numFmtId="170" fontId="9" fillId="0" borderId="6" xfId="0" applyNumberFormat="1" applyFont="1" applyBorder="1" applyAlignment="1">
      <alignment horizontal="center" vertical="center"/>
    </xf>
    <xf numFmtId="166" fontId="9" fillId="8" borderId="6" xfId="0" applyNumberFormat="1" applyFont="1" applyFill="1" applyBorder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30" borderId="6" xfId="0" applyFont="1" applyFill="1" applyBorder="1" applyAlignment="1">
      <alignment horizontal="center" vertical="center"/>
    </xf>
    <xf numFmtId="14" fontId="0" fillId="30" borderId="6" xfId="2" applyNumberFormat="1" applyFont="1" applyFill="1" applyBorder="1" applyAlignment="1">
      <alignment horizontal="center" vertical="center" wrapText="1"/>
    </xf>
    <xf numFmtId="167" fontId="8" fillId="12" borderId="6" xfId="0" applyNumberFormat="1" applyFont="1" applyFill="1" applyBorder="1" applyAlignment="1">
      <alignment horizontal="center" vertical="center"/>
    </xf>
    <xf numFmtId="3" fontId="14" fillId="0" borderId="0" xfId="0" applyNumberFormat="1" applyFont="1" applyAlignment="1">
      <alignment horizontal="center" vertical="center"/>
    </xf>
    <xf numFmtId="3" fontId="6" fillId="0" borderId="0" xfId="0" applyNumberFormat="1" applyFont="1" applyAlignment="1">
      <alignment horizontal="center" vertical="center"/>
    </xf>
    <xf numFmtId="166" fontId="8" fillId="38" borderId="6" xfId="7" applyNumberFormat="1" applyFont="1" applyFill="1" applyBorder="1" applyAlignment="1">
      <alignment horizontal="center" vertical="center" wrapText="1"/>
    </xf>
    <xf numFmtId="166" fontId="8" fillId="38" borderId="6" xfId="7" applyNumberFormat="1" applyFont="1" applyFill="1" applyBorder="1" applyAlignment="1">
      <alignment horizontal="center" vertical="center"/>
    </xf>
    <xf numFmtId="0" fontId="6" fillId="38" borderId="0" xfId="0" applyFont="1" applyFill="1" applyAlignment="1">
      <alignment horizontal="center" vertical="center"/>
    </xf>
    <xf numFmtId="0" fontId="8" fillId="9" borderId="6" xfId="3" applyFont="1" applyFill="1" applyBorder="1" applyAlignment="1">
      <alignment horizontal="center" vertical="center" wrapText="1"/>
    </xf>
    <xf numFmtId="0" fontId="8" fillId="9" borderId="6" xfId="8" applyFont="1" applyFill="1" applyBorder="1" applyAlignment="1">
      <alignment horizontal="center" vertical="center" wrapText="1"/>
    </xf>
    <xf numFmtId="166" fontId="8" fillId="9" borderId="6" xfId="8" applyNumberFormat="1" applyFont="1" applyFill="1" applyBorder="1" applyAlignment="1">
      <alignment horizontal="center" vertical="center" wrapText="1"/>
    </xf>
    <xf numFmtId="3" fontId="6" fillId="9" borderId="6" xfId="0" applyNumberFormat="1" applyFont="1" applyFill="1" applyBorder="1" applyAlignment="1">
      <alignment horizontal="center" vertical="center"/>
    </xf>
    <xf numFmtId="0" fontId="6" fillId="8" borderId="0" xfId="0" applyFont="1" applyFill="1" applyBorder="1" applyAlignment="1">
      <alignment horizontal="center" wrapText="1"/>
    </xf>
    <xf numFmtId="0" fontId="6" fillId="0" borderId="0" xfId="0" applyFont="1" applyBorder="1" applyAlignment="1">
      <alignment horizontal="center" wrapText="1"/>
    </xf>
    <xf numFmtId="0" fontId="6" fillId="0" borderId="0" xfId="0" applyFont="1" applyAlignment="1">
      <alignment horizontal="center" vertical="center" wrapText="1"/>
    </xf>
    <xf numFmtId="9" fontId="6" fillId="0" borderId="0" xfId="2" applyFont="1" applyAlignment="1">
      <alignment horizontal="center" vertical="center" wrapText="1"/>
    </xf>
    <xf numFmtId="0" fontId="6" fillId="29" borderId="6" xfId="0" applyFont="1" applyFill="1" applyBorder="1" applyAlignment="1">
      <alignment horizontal="center" vertical="center"/>
    </xf>
    <xf numFmtId="3" fontId="8" fillId="29" borderId="6" xfId="0" applyNumberFormat="1" applyFont="1" applyFill="1" applyBorder="1" applyAlignment="1">
      <alignment horizontal="center" vertical="center"/>
    </xf>
    <xf numFmtId="166" fontId="8" fillId="29" borderId="6" xfId="0" applyNumberFormat="1" applyFont="1" applyFill="1" applyBorder="1" applyAlignment="1">
      <alignment horizontal="center" vertical="center"/>
    </xf>
    <xf numFmtId="14" fontId="8" fillId="29" borderId="6" xfId="0" applyNumberFormat="1" applyFont="1" applyFill="1" applyBorder="1" applyAlignment="1">
      <alignment horizontal="center" vertical="center"/>
    </xf>
    <xf numFmtId="1" fontId="0" fillId="8" borderId="1" xfId="0" applyNumberFormat="1" applyFont="1" applyFill="1" applyBorder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166" fontId="8" fillId="29" borderId="6" xfId="0" applyNumberFormat="1" applyFont="1" applyFill="1" applyBorder="1" applyAlignment="1">
      <alignment horizontal="center" vertical="center" wrapText="1"/>
    </xf>
    <xf numFmtId="0" fontId="5" fillId="29" borderId="6" xfId="0" applyFont="1" applyFill="1" applyBorder="1" applyAlignment="1">
      <alignment horizontal="center" vertical="center" wrapText="1"/>
    </xf>
    <xf numFmtId="0" fontId="8" fillId="29" borderId="6" xfId="0" applyFont="1" applyFill="1" applyBorder="1" applyAlignment="1">
      <alignment horizontal="center" vertical="center"/>
    </xf>
    <xf numFmtId="1" fontId="8" fillId="30" borderId="6" xfId="0" applyNumberFormat="1" applyFont="1" applyFill="1" applyBorder="1" applyAlignment="1">
      <alignment horizontal="center" vertical="center"/>
    </xf>
    <xf numFmtId="166" fontId="9" fillId="30" borderId="6" xfId="0" applyNumberFormat="1" applyFont="1" applyFill="1" applyBorder="1" applyAlignment="1">
      <alignment horizontal="center" vertical="center"/>
    </xf>
    <xf numFmtId="3" fontId="9" fillId="30" borderId="6" xfId="0" applyNumberFormat="1" applyFont="1" applyFill="1" applyBorder="1" applyAlignment="1">
      <alignment horizontal="center" vertical="center"/>
    </xf>
    <xf numFmtId="0" fontId="19" fillId="8" borderId="6" xfId="0" applyNumberFormat="1" applyFont="1" applyFill="1" applyBorder="1" applyAlignment="1">
      <alignment horizontal="center" vertical="center"/>
    </xf>
    <xf numFmtId="0" fontId="0" fillId="8" borderId="0" xfId="0" applyNumberFormat="1" applyFont="1" applyFill="1" applyBorder="1" applyAlignment="1">
      <alignment horizontal="center"/>
    </xf>
    <xf numFmtId="0" fontId="0" fillId="0" borderId="0" xfId="0" applyNumberFormat="1" applyFont="1" applyBorder="1" applyAlignment="1">
      <alignment horizontal="center"/>
    </xf>
    <xf numFmtId="0" fontId="0" fillId="0" borderId="0" xfId="0" applyNumberFormat="1" applyFont="1" applyAlignment="1">
      <alignment horizontal="center"/>
    </xf>
    <xf numFmtId="0" fontId="0" fillId="0" borderId="0" xfId="0" applyNumberFormat="1" applyFont="1" applyAlignment="1">
      <alignment horizontal="center" vertical="center"/>
    </xf>
    <xf numFmtId="0" fontId="7" fillId="0" borderId="0" xfId="0" applyNumberFormat="1" applyFont="1" applyBorder="1" applyAlignment="1">
      <alignment horizontal="center" vertical="center"/>
    </xf>
    <xf numFmtId="0" fontId="0" fillId="29" borderId="11" xfId="0" applyNumberFormat="1" applyFont="1" applyFill="1" applyBorder="1" applyAlignment="1">
      <alignment horizontal="center" vertical="center"/>
    </xf>
    <xf numFmtId="0" fontId="1" fillId="30" borderId="11" xfId="1" applyNumberFormat="1" applyFont="1" applyFill="1" applyBorder="1" applyAlignment="1">
      <alignment horizontal="center" vertical="center"/>
    </xf>
    <xf numFmtId="0" fontId="8" fillId="29" borderId="11" xfId="1" applyNumberFormat="1" applyFont="1" applyFill="1" applyBorder="1" applyAlignment="1">
      <alignment horizontal="center" vertical="center"/>
    </xf>
    <xf numFmtId="0" fontId="19" fillId="8" borderId="11" xfId="0" applyNumberFormat="1" applyFont="1" applyFill="1" applyBorder="1" applyAlignment="1">
      <alignment horizontal="center" vertical="center"/>
    </xf>
    <xf numFmtId="0" fontId="19" fillId="8" borderId="11" xfId="2" applyNumberFormat="1" applyFont="1" applyFill="1" applyBorder="1" applyAlignment="1">
      <alignment horizontal="center" vertical="center"/>
    </xf>
    <xf numFmtId="0" fontId="17" fillId="8" borderId="11" xfId="1" applyNumberFormat="1" applyFont="1" applyFill="1" applyBorder="1" applyAlignment="1">
      <alignment horizontal="center" vertical="center"/>
    </xf>
    <xf numFmtId="166" fontId="8" fillId="30" borderId="12" xfId="1" applyNumberFormat="1" applyFont="1" applyFill="1" applyBorder="1" applyAlignment="1">
      <alignment horizontal="center" vertical="center"/>
    </xf>
    <xf numFmtId="166" fontId="0" fillId="29" borderId="12" xfId="0" applyNumberFormat="1" applyFont="1" applyFill="1" applyBorder="1" applyAlignment="1">
      <alignment horizontal="center" vertical="center"/>
    </xf>
    <xf numFmtId="166" fontId="8" fillId="29" borderId="12" xfId="1" applyNumberFormat="1" applyFont="1" applyFill="1" applyBorder="1" applyAlignment="1">
      <alignment horizontal="center" vertical="center"/>
    </xf>
    <xf numFmtId="166" fontId="8" fillId="30" borderId="12" xfId="0" applyNumberFormat="1" applyFont="1" applyFill="1" applyBorder="1" applyAlignment="1">
      <alignment horizontal="center" vertical="center"/>
    </xf>
    <xf numFmtId="166" fontId="0" fillId="29" borderId="12" xfId="1" applyNumberFormat="1" applyFont="1" applyFill="1" applyBorder="1" applyAlignment="1">
      <alignment horizontal="center" vertical="center"/>
    </xf>
    <xf numFmtId="0" fontId="6" fillId="27" borderId="4" xfId="0" applyFont="1" applyFill="1" applyBorder="1" applyAlignment="1">
      <alignment horizontal="center" vertical="center"/>
    </xf>
    <xf numFmtId="0" fontId="6" fillId="27" borderId="2" xfId="0" applyFont="1" applyFill="1" applyBorder="1" applyAlignment="1">
      <alignment horizontal="center" vertical="center"/>
    </xf>
    <xf numFmtId="0" fontId="6" fillId="27" borderId="2" xfId="0" applyFont="1" applyFill="1" applyBorder="1" applyAlignment="1">
      <alignment horizontal="center" vertical="center" wrapText="1"/>
    </xf>
    <xf numFmtId="0" fontId="6" fillId="27" borderId="8" xfId="0" applyFont="1" applyFill="1" applyBorder="1" applyAlignment="1">
      <alignment horizontal="center" vertical="center"/>
    </xf>
    <xf numFmtId="164" fontId="6" fillId="27" borderId="2" xfId="0" applyNumberFormat="1" applyFont="1" applyFill="1" applyBorder="1" applyAlignment="1">
      <alignment horizontal="center" vertical="center"/>
    </xf>
    <xf numFmtId="0" fontId="6" fillId="27" borderId="5" xfId="0" applyFont="1" applyFill="1" applyBorder="1" applyAlignment="1">
      <alignment horizontal="center" vertical="center"/>
    </xf>
    <xf numFmtId="164" fontId="6" fillId="27" borderId="0" xfId="0" applyNumberFormat="1" applyFont="1" applyFill="1" applyAlignment="1">
      <alignment horizontal="center" vertical="center"/>
    </xf>
    <xf numFmtId="164" fontId="0" fillId="27" borderId="7" xfId="0" applyNumberFormat="1" applyFont="1" applyFill="1" applyBorder="1" applyAlignment="1"/>
    <xf numFmtId="164" fontId="0" fillId="27" borderId="5" xfId="0" applyNumberFormat="1" applyFont="1" applyFill="1" applyBorder="1" applyAlignment="1"/>
    <xf numFmtId="0" fontId="0" fillId="0" borderId="14" xfId="0" applyFont="1" applyBorder="1" applyAlignment="1">
      <alignment horizontal="center" vertical="center"/>
    </xf>
    <xf numFmtId="0" fontId="0" fillId="0" borderId="16" xfId="0" applyFont="1" applyBorder="1" applyAlignment="1">
      <alignment horizontal="center" vertical="center"/>
    </xf>
    <xf numFmtId="0" fontId="0" fillId="0" borderId="18" xfId="0" applyFont="1" applyBorder="1" applyAlignment="1">
      <alignment horizontal="center" vertical="center"/>
    </xf>
    <xf numFmtId="0" fontId="6" fillId="0" borderId="20" xfId="0" applyFont="1" applyBorder="1" applyAlignment="1">
      <alignment horizontal="center" vertical="center" wrapText="1"/>
    </xf>
    <xf numFmtId="9" fontId="0" fillId="0" borderId="15" xfId="2" applyFont="1" applyBorder="1" applyAlignment="1">
      <alignment horizontal="center" vertical="center"/>
    </xf>
    <xf numFmtId="9" fontId="0" fillId="0" borderId="19" xfId="2" applyFont="1" applyBorder="1" applyAlignment="1">
      <alignment horizontal="center" vertical="center"/>
    </xf>
    <xf numFmtId="9" fontId="0" fillId="0" borderId="17" xfId="2" applyFont="1" applyBorder="1" applyAlignment="1">
      <alignment horizontal="center" vertical="center"/>
    </xf>
    <xf numFmtId="0" fontId="6" fillId="0" borderId="20" xfId="0" applyFont="1" applyBorder="1" applyAlignment="1">
      <alignment horizontal="center" vertical="center"/>
    </xf>
    <xf numFmtId="9" fontId="6" fillId="0" borderId="21" xfId="0" applyNumberFormat="1" applyFont="1" applyBorder="1" applyAlignment="1">
      <alignment horizontal="center" vertical="center"/>
    </xf>
    <xf numFmtId="0" fontId="6" fillId="0" borderId="22" xfId="0" applyFont="1" applyBorder="1" applyAlignment="1">
      <alignment horizontal="center" vertical="center"/>
    </xf>
    <xf numFmtId="9" fontId="6" fillId="0" borderId="21" xfId="2" applyFont="1" applyBorder="1" applyAlignment="1">
      <alignment horizontal="center" vertical="center"/>
    </xf>
    <xf numFmtId="9" fontId="6" fillId="0" borderId="23" xfId="2" applyFont="1" applyBorder="1" applyAlignment="1">
      <alignment horizontal="center" vertical="center"/>
    </xf>
    <xf numFmtId="9" fontId="6" fillId="0" borderId="21" xfId="0" applyNumberFormat="1" applyFont="1" applyBorder="1" applyAlignment="1">
      <alignment horizontal="center" vertical="center" wrapText="1"/>
    </xf>
    <xf numFmtId="9" fontId="6" fillId="0" borderId="21" xfId="2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/>
    </xf>
    <xf numFmtId="0" fontId="6" fillId="0" borderId="5" xfId="0" applyFont="1" applyBorder="1" applyAlignment="1">
      <alignment horizontal="center" vertical="center"/>
    </xf>
    <xf numFmtId="0" fontId="6" fillId="0" borderId="8" xfId="0" applyFont="1" applyBorder="1" applyAlignment="1">
      <alignment horizontal="center" vertical="center"/>
    </xf>
    <xf numFmtId="167" fontId="0" fillId="14" borderId="6" xfId="0" applyNumberFormat="1" applyFont="1" applyFill="1" applyBorder="1" applyAlignment="1">
      <alignment horizontal="center" vertical="center"/>
    </xf>
    <xf numFmtId="167" fontId="0" fillId="14" borderId="1" xfId="0" applyNumberFormat="1" applyFont="1" applyFill="1" applyBorder="1" applyAlignment="1">
      <alignment horizontal="center" vertical="center"/>
    </xf>
    <xf numFmtId="165" fontId="8" fillId="14" borderId="6" xfId="1" applyFont="1" applyFill="1" applyBorder="1" applyAlignment="1">
      <alignment horizontal="center" vertical="center" wrapText="1"/>
    </xf>
    <xf numFmtId="0" fontId="6" fillId="38" borderId="6" xfId="0" applyFont="1" applyFill="1" applyBorder="1" applyAlignment="1">
      <alignment horizontal="center" vertical="center" wrapText="1"/>
    </xf>
    <xf numFmtId="0" fontId="9" fillId="8" borderId="6" xfId="0" applyFont="1" applyFill="1" applyBorder="1" applyAlignment="1">
      <alignment horizontal="center" vertical="center"/>
    </xf>
    <xf numFmtId="0" fontId="8" fillId="14" borderId="6" xfId="0" applyFont="1" applyFill="1" applyBorder="1" applyAlignment="1">
      <alignment horizontal="center" vertical="center" wrapText="1"/>
    </xf>
    <xf numFmtId="171" fontId="8" fillId="29" borderId="6" xfId="0" applyNumberFormat="1" applyFont="1" applyFill="1" applyBorder="1" applyAlignment="1">
      <alignment horizontal="center" vertical="center"/>
    </xf>
    <xf numFmtId="0" fontId="0" fillId="29" borderId="6" xfId="0" applyFont="1" applyFill="1" applyBorder="1" applyAlignment="1">
      <alignment horizontal="center" vertical="center" wrapText="1"/>
    </xf>
    <xf numFmtId="14" fontId="8" fillId="8" borderId="6" xfId="0" applyNumberFormat="1" applyFont="1" applyFill="1" applyBorder="1" applyAlignment="1">
      <alignment horizontal="center" vertical="center" wrapText="1"/>
    </xf>
    <xf numFmtId="4" fontId="8" fillId="23" borderId="6" xfId="0" applyNumberFormat="1" applyFont="1" applyFill="1" applyBorder="1" applyAlignment="1">
      <alignment horizontal="center" vertical="center"/>
    </xf>
    <xf numFmtId="0" fontId="8" fillId="9" borderId="1" xfId="3" applyFont="1" applyFill="1" applyBorder="1" applyAlignment="1">
      <alignment horizontal="center" vertical="center" wrapText="1"/>
    </xf>
    <xf numFmtId="4" fontId="8" fillId="23" borderId="1" xfId="0" applyNumberFormat="1" applyFont="1" applyFill="1" applyBorder="1" applyAlignment="1">
      <alignment horizontal="center" vertical="center"/>
    </xf>
    <xf numFmtId="166" fontId="9" fillId="29" borderId="6" xfId="0" applyNumberFormat="1" applyFont="1" applyFill="1" applyBorder="1" applyAlignment="1">
      <alignment horizontal="center" vertical="center"/>
    </xf>
    <xf numFmtId="3" fontId="9" fillId="29" borderId="6" xfId="0" applyNumberFormat="1" applyFont="1" applyFill="1" applyBorder="1" applyAlignment="1">
      <alignment horizontal="center" vertical="center"/>
    </xf>
    <xf numFmtId="14" fontId="0" fillId="14" borderId="6" xfId="0" applyNumberFormat="1" applyFont="1" applyFill="1" applyBorder="1" applyAlignment="1">
      <alignment horizontal="center" vertical="center"/>
    </xf>
    <xf numFmtId="166" fontId="8" fillId="29" borderId="12" xfId="0" applyNumberFormat="1" applyFont="1" applyFill="1" applyBorder="1" applyAlignment="1">
      <alignment horizontal="center" vertical="center"/>
    </xf>
    <xf numFmtId="0" fontId="8" fillId="29" borderId="11" xfId="0" applyNumberFormat="1" applyFont="1" applyFill="1" applyBorder="1" applyAlignment="1">
      <alignment horizontal="center" vertical="center"/>
    </xf>
    <xf numFmtId="1" fontId="19" fillId="8" borderId="11" xfId="0" applyNumberFormat="1" applyFont="1" applyFill="1" applyBorder="1" applyAlignment="1">
      <alignment horizontal="center" vertical="center"/>
    </xf>
    <xf numFmtId="1" fontId="0" fillId="29" borderId="11" xfId="0" applyNumberFormat="1" applyFont="1" applyFill="1" applyBorder="1" applyAlignment="1">
      <alignment horizontal="center" vertical="center"/>
    </xf>
    <xf numFmtId="1" fontId="8" fillId="29" borderId="11" xfId="1" applyNumberFormat="1" applyFont="1" applyFill="1" applyBorder="1" applyAlignment="1">
      <alignment horizontal="center" vertical="center"/>
    </xf>
    <xf numFmtId="1" fontId="1" fillId="30" borderId="11" xfId="1" applyNumberFormat="1" applyFont="1" applyFill="1" applyBorder="1" applyAlignment="1">
      <alignment horizontal="center" vertical="center"/>
    </xf>
    <xf numFmtId="1" fontId="8" fillId="29" borderId="11" xfId="0" applyNumberFormat="1" applyFont="1" applyFill="1" applyBorder="1" applyAlignment="1">
      <alignment horizontal="center" vertical="center"/>
    </xf>
    <xf numFmtId="1" fontId="19" fillId="8" borderId="11" xfId="2" applyNumberFormat="1" applyFont="1" applyFill="1" applyBorder="1" applyAlignment="1">
      <alignment horizontal="center" vertical="center"/>
    </xf>
    <xf numFmtId="9" fontId="19" fillId="8" borderId="6" xfId="2" applyFont="1" applyFill="1" applyBorder="1" applyAlignment="1">
      <alignment horizontal="center" vertical="center"/>
    </xf>
    <xf numFmtId="9" fontId="8" fillId="30" borderId="6" xfId="2" applyFont="1" applyFill="1" applyBorder="1" applyAlignment="1">
      <alignment horizontal="center" vertical="center"/>
    </xf>
    <xf numFmtId="9" fontId="0" fillId="30" borderId="6" xfId="2" applyFont="1" applyFill="1" applyBorder="1" applyAlignment="1">
      <alignment horizontal="center" vertical="center"/>
    </xf>
    <xf numFmtId="166" fontId="8" fillId="29" borderId="26" xfId="1" applyNumberFormat="1" applyFont="1" applyFill="1" applyBorder="1" applyAlignment="1">
      <alignment horizontal="center" vertical="center"/>
    </xf>
    <xf numFmtId="0" fontId="0" fillId="29" borderId="11" xfId="1" applyNumberFormat="1" applyFont="1" applyFill="1" applyBorder="1" applyAlignment="1">
      <alignment horizontal="center" vertical="center"/>
    </xf>
    <xf numFmtId="166" fontId="9" fillId="8" borderId="26" xfId="1" applyNumberFormat="1" applyFont="1" applyFill="1" applyBorder="1" applyAlignment="1">
      <alignment horizontal="center" vertical="center"/>
    </xf>
    <xf numFmtId="0" fontId="30" fillId="8" borderId="1" xfId="0" applyFont="1" applyFill="1" applyBorder="1" applyAlignment="1">
      <alignment horizontal="center" vertical="center" wrapText="1"/>
    </xf>
    <xf numFmtId="0" fontId="30" fillId="8" borderId="6" xfId="0" applyFont="1" applyFill="1" applyBorder="1" applyAlignment="1">
      <alignment horizontal="center" vertical="center" wrapText="1"/>
    </xf>
    <xf numFmtId="0" fontId="30" fillId="9" borderId="6" xfId="0" applyFont="1" applyFill="1" applyBorder="1" applyAlignment="1">
      <alignment horizontal="center" vertical="center" wrapText="1"/>
    </xf>
    <xf numFmtId="0" fontId="30" fillId="9" borderId="1" xfId="3" applyFont="1" applyFill="1" applyBorder="1" applyAlignment="1">
      <alignment horizontal="center" vertical="center" wrapText="1"/>
    </xf>
    <xf numFmtId="0" fontId="30" fillId="11" borderId="1" xfId="0" applyFont="1" applyFill="1" applyBorder="1" applyAlignment="1">
      <alignment horizontal="center" vertical="center" wrapText="1"/>
    </xf>
    <xf numFmtId="164" fontId="30" fillId="8" borderId="6" xfId="0" applyNumberFormat="1" applyFont="1" applyFill="1" applyBorder="1" applyAlignment="1">
      <alignment horizontal="center" vertical="center" wrapText="1"/>
    </xf>
    <xf numFmtId="9" fontId="30" fillId="8" borderId="6" xfId="2" applyFont="1" applyFill="1" applyBorder="1" applyAlignment="1">
      <alignment horizontal="center" vertical="center" wrapText="1"/>
    </xf>
    <xf numFmtId="0" fontId="30" fillId="31" borderId="6" xfId="1" applyNumberFormat="1" applyFont="1" applyFill="1" applyBorder="1" applyAlignment="1">
      <alignment horizontal="center" vertical="center" wrapText="1"/>
    </xf>
    <xf numFmtId="0" fontId="30" fillId="34" borderId="1" xfId="5" applyFont="1" applyFill="1" applyBorder="1" applyAlignment="1">
      <alignment horizontal="center" vertical="center" wrapText="1"/>
    </xf>
    <xf numFmtId="0" fontId="30" fillId="4" borderId="6" xfId="5" applyFont="1" applyBorder="1" applyAlignment="1">
      <alignment horizontal="center" vertical="center" wrapText="1"/>
    </xf>
    <xf numFmtId="0" fontId="30" fillId="6" borderId="1" xfId="7" applyFont="1" applyBorder="1" applyAlignment="1">
      <alignment horizontal="center" vertical="center" wrapText="1"/>
    </xf>
    <xf numFmtId="0" fontId="30" fillId="35" borderId="1" xfId="7" applyFont="1" applyFill="1" applyBorder="1" applyAlignment="1">
      <alignment horizontal="center" vertical="center" wrapText="1"/>
    </xf>
    <xf numFmtId="0" fontId="30" fillId="6" borderId="6" xfId="7" applyFont="1" applyBorder="1" applyAlignment="1">
      <alignment horizontal="center" vertical="center" wrapText="1"/>
    </xf>
    <xf numFmtId="0" fontId="30" fillId="38" borderId="6" xfId="7" applyFont="1" applyFill="1" applyBorder="1" applyAlignment="1">
      <alignment horizontal="center" vertical="center" wrapText="1"/>
    </xf>
    <xf numFmtId="0" fontId="30" fillId="33" borderId="6" xfId="1" applyNumberFormat="1" applyFont="1" applyFill="1" applyBorder="1" applyAlignment="1">
      <alignment horizontal="center" vertical="center" wrapText="1"/>
    </xf>
    <xf numFmtId="0" fontId="30" fillId="33" borderId="11" xfId="1" applyNumberFormat="1" applyFont="1" applyFill="1" applyBorder="1" applyAlignment="1">
      <alignment horizontal="center" vertical="center" wrapText="1"/>
    </xf>
    <xf numFmtId="1" fontId="30" fillId="33" borderId="6" xfId="1" applyNumberFormat="1" applyFont="1" applyFill="1" applyBorder="1" applyAlignment="1">
      <alignment horizontal="center" vertical="center" wrapText="1"/>
    </xf>
    <xf numFmtId="0" fontId="30" fillId="32" borderId="6" xfId="1" applyNumberFormat="1" applyFont="1" applyFill="1" applyBorder="1" applyAlignment="1">
      <alignment horizontal="center" vertical="center" wrapText="1"/>
    </xf>
    <xf numFmtId="0" fontId="30" fillId="32" borderId="6" xfId="1" applyNumberFormat="1" applyFont="1" applyFill="1" applyBorder="1" applyAlignment="1">
      <alignment horizontal="center" vertical="center"/>
    </xf>
    <xf numFmtId="3" fontId="30" fillId="11" borderId="1" xfId="1" applyNumberFormat="1" applyFont="1" applyFill="1" applyBorder="1" applyAlignment="1">
      <alignment horizontal="center" vertical="center" wrapText="1"/>
    </xf>
    <xf numFmtId="3" fontId="30" fillId="16" borderId="1" xfId="1" applyNumberFormat="1" applyFont="1" applyFill="1" applyBorder="1" applyAlignment="1">
      <alignment horizontal="center" vertical="center" wrapText="1"/>
    </xf>
    <xf numFmtId="165" fontId="30" fillId="11" borderId="1" xfId="1" applyFont="1" applyFill="1" applyBorder="1" applyAlignment="1">
      <alignment horizontal="center" vertical="center" wrapText="1"/>
    </xf>
    <xf numFmtId="165" fontId="30" fillId="16" borderId="1" xfId="1" applyFont="1" applyFill="1" applyBorder="1" applyAlignment="1">
      <alignment horizontal="center" vertical="center" wrapText="1"/>
    </xf>
    <xf numFmtId="165" fontId="30" fillId="11" borderId="6" xfId="1" applyFont="1" applyFill="1" applyBorder="1" applyAlignment="1">
      <alignment horizontal="center" vertical="center" wrapText="1"/>
    </xf>
    <xf numFmtId="165" fontId="30" fillId="16" borderId="6" xfId="1" applyFont="1" applyFill="1" applyBorder="1" applyAlignment="1">
      <alignment horizontal="center" vertical="center" wrapText="1"/>
    </xf>
    <xf numFmtId="0" fontId="31" fillId="40" borderId="0" xfId="10" applyFont="1" applyFill="1" applyAlignment="1">
      <alignment horizontal="center" vertical="center" wrapText="1"/>
    </xf>
    <xf numFmtId="0" fontId="32" fillId="40" borderId="0" xfId="10" applyFont="1" applyFill="1" applyAlignment="1">
      <alignment horizontal="center" vertical="center" wrapText="1"/>
    </xf>
    <xf numFmtId="0" fontId="31" fillId="11" borderId="0" xfId="10" applyFont="1" applyFill="1" applyAlignment="1">
      <alignment horizontal="center" vertical="center" wrapText="1"/>
    </xf>
    <xf numFmtId="0" fontId="31" fillId="43" borderId="0" xfId="10" applyFont="1" applyFill="1" applyAlignment="1">
      <alignment horizontal="center" vertical="center" wrapText="1"/>
    </xf>
    <xf numFmtId="0" fontId="30" fillId="8" borderId="0" xfId="0" applyFont="1" applyFill="1" applyAlignment="1">
      <alignment horizontal="center" vertical="center" wrapText="1"/>
    </xf>
    <xf numFmtId="1" fontId="22" fillId="45" borderId="6" xfId="0" applyNumberFormat="1" applyFont="1" applyFill="1" applyBorder="1" applyAlignment="1">
      <alignment horizontal="center" vertical="center"/>
    </xf>
    <xf numFmtId="166" fontId="34" fillId="29" borderId="9" xfId="0" applyNumberFormat="1" applyFont="1" applyFill="1" applyBorder="1" applyAlignment="1">
      <alignment horizontal="center" vertical="center"/>
    </xf>
    <xf numFmtId="166" fontId="34" fillId="29" borderId="6" xfId="0" applyNumberFormat="1" applyFont="1" applyFill="1" applyBorder="1" applyAlignment="1">
      <alignment horizontal="center" vertical="center"/>
    </xf>
    <xf numFmtId="1" fontId="34" fillId="45" borderId="6" xfId="0" applyNumberFormat="1" applyFont="1" applyFill="1" applyBorder="1" applyAlignment="1">
      <alignment horizontal="center" vertical="center"/>
    </xf>
    <xf numFmtId="166" fontId="9" fillId="12" borderId="6" xfId="0" applyNumberFormat="1" applyFont="1" applyFill="1" applyBorder="1" applyAlignment="1">
      <alignment horizontal="center" vertical="center"/>
    </xf>
    <xf numFmtId="3" fontId="0" fillId="12" borderId="6" xfId="0" applyNumberFormat="1" applyFont="1" applyFill="1" applyBorder="1" applyAlignment="1">
      <alignment horizontal="center" vertical="center"/>
    </xf>
    <xf numFmtId="1" fontId="22" fillId="47" borderId="6" xfId="0" applyNumberFormat="1" applyFont="1" applyFill="1" applyBorder="1" applyAlignment="1">
      <alignment horizontal="center" vertical="center"/>
    </xf>
    <xf numFmtId="1" fontId="34" fillId="47" borderId="6" xfId="0" applyNumberFormat="1" applyFont="1" applyFill="1" applyBorder="1" applyAlignment="1">
      <alignment horizontal="center" vertical="center"/>
    </xf>
    <xf numFmtId="1" fontId="0" fillId="12" borderId="6" xfId="0" applyNumberFormat="1" applyFont="1" applyFill="1" applyBorder="1" applyAlignment="1">
      <alignment horizontal="center" vertical="center"/>
    </xf>
    <xf numFmtId="166" fontId="0" fillId="12" borderId="6" xfId="0" applyNumberFormat="1" applyFont="1" applyFill="1" applyBorder="1" applyAlignment="1">
      <alignment horizontal="center" vertical="center"/>
    </xf>
    <xf numFmtId="0" fontId="0" fillId="12" borderId="6" xfId="0" applyFont="1" applyFill="1" applyBorder="1" applyAlignment="1">
      <alignment horizontal="center" vertical="center"/>
    </xf>
    <xf numFmtId="166" fontId="8" fillId="12" borderId="6" xfId="0" applyNumberFormat="1" applyFont="1" applyFill="1" applyBorder="1" applyAlignment="1">
      <alignment horizontal="center" vertical="center"/>
    </xf>
    <xf numFmtId="0" fontId="8" fillId="12" borderId="6" xfId="0" applyFont="1" applyFill="1" applyBorder="1" applyAlignment="1">
      <alignment horizontal="center" vertical="center"/>
    </xf>
    <xf numFmtId="166" fontId="9" fillId="37" borderId="6" xfId="0" applyNumberFormat="1" applyFont="1" applyFill="1" applyBorder="1" applyAlignment="1">
      <alignment horizontal="center" vertical="center"/>
    </xf>
    <xf numFmtId="0" fontId="0" fillId="37" borderId="6" xfId="0" applyFont="1" applyFill="1" applyBorder="1" applyAlignment="1">
      <alignment horizontal="center" vertical="center"/>
    </xf>
    <xf numFmtId="166" fontId="0" fillId="37" borderId="6" xfId="0" applyNumberFormat="1" applyFont="1" applyFill="1" applyBorder="1" applyAlignment="1">
      <alignment horizontal="center" vertical="center"/>
    </xf>
    <xf numFmtId="3" fontId="0" fillId="37" borderId="6" xfId="0" applyNumberFormat="1" applyFont="1" applyFill="1" applyBorder="1" applyAlignment="1">
      <alignment horizontal="center" vertical="center"/>
    </xf>
    <xf numFmtId="1" fontId="22" fillId="48" borderId="6" xfId="0" applyNumberFormat="1" applyFont="1" applyFill="1" applyBorder="1" applyAlignment="1">
      <alignment horizontal="center" vertical="center"/>
    </xf>
    <xf numFmtId="1" fontId="0" fillId="37" borderId="6" xfId="0" applyNumberFormat="1" applyFont="1" applyFill="1" applyBorder="1" applyAlignment="1">
      <alignment horizontal="center" vertical="center"/>
    </xf>
    <xf numFmtId="3" fontId="9" fillId="37" borderId="6" xfId="0" applyNumberFormat="1" applyFont="1" applyFill="1" applyBorder="1" applyAlignment="1">
      <alignment horizontal="center" vertical="center"/>
    </xf>
    <xf numFmtId="166" fontId="8" fillId="37" borderId="6" xfId="0" applyNumberFormat="1" applyFont="1" applyFill="1" applyBorder="1" applyAlignment="1">
      <alignment horizontal="center" vertical="center"/>
    </xf>
    <xf numFmtId="1" fontId="22" fillId="29" borderId="6" xfId="0" applyNumberFormat="1" applyFont="1" applyFill="1" applyBorder="1" applyAlignment="1">
      <alignment horizontal="center" vertical="center"/>
    </xf>
    <xf numFmtId="166" fontId="0" fillId="12" borderId="9" xfId="0" applyNumberFormat="1" applyFont="1" applyFill="1" applyBorder="1" applyAlignment="1">
      <alignment horizontal="center" vertical="center"/>
    </xf>
    <xf numFmtId="0" fontId="0" fillId="46" borderId="6" xfId="0" applyFont="1" applyFill="1" applyBorder="1" applyAlignment="1">
      <alignment horizontal="center" vertical="center"/>
    </xf>
    <xf numFmtId="0" fontId="0" fillId="21" borderId="6" xfId="0" applyFont="1" applyFill="1" applyBorder="1" applyAlignment="1">
      <alignment horizontal="center" vertical="center"/>
    </xf>
    <xf numFmtId="3" fontId="33" fillId="21" borderId="6" xfId="10" applyNumberFormat="1" applyFont="1" applyFill="1" applyBorder="1" applyAlignment="1">
      <alignment horizontal="center" vertical="center" wrapText="1"/>
    </xf>
    <xf numFmtId="3" fontId="33" fillId="21" borderId="6" xfId="10" applyNumberFormat="1" applyFont="1" applyFill="1" applyBorder="1" applyAlignment="1">
      <alignment horizontal="right" vertical="center" wrapText="1"/>
    </xf>
    <xf numFmtId="3" fontId="0" fillId="46" borderId="6" xfId="0" applyNumberFormat="1" applyFont="1" applyFill="1" applyBorder="1" applyAlignment="1">
      <alignment horizontal="center" vertical="center"/>
    </xf>
    <xf numFmtId="3" fontId="0" fillId="21" borderId="6" xfId="0" applyNumberFormat="1" applyFont="1" applyFill="1" applyBorder="1" applyAlignment="1">
      <alignment horizontal="center" vertical="center"/>
    </xf>
    <xf numFmtId="0" fontId="0" fillId="21" borderId="10" xfId="0" applyFont="1" applyFill="1" applyBorder="1" applyAlignment="1">
      <alignment horizontal="center" vertical="center"/>
    </xf>
    <xf numFmtId="166" fontId="0" fillId="0" borderId="0" xfId="0" applyNumberFormat="1" applyFont="1" applyAlignment="1">
      <alignment horizontal="center"/>
    </xf>
    <xf numFmtId="166" fontId="0" fillId="0" borderId="0" xfId="0" applyNumberFormat="1" applyFont="1" applyAlignment="1">
      <alignment horizontal="center" vertical="center"/>
    </xf>
    <xf numFmtId="166" fontId="31" fillId="11" borderId="0" xfId="10" applyNumberFormat="1" applyFont="1" applyFill="1" applyAlignment="1">
      <alignment horizontal="center" vertical="center" wrapText="1"/>
    </xf>
    <xf numFmtId="166" fontId="32" fillId="11" borderId="0" xfId="10" applyNumberFormat="1" applyFont="1" applyFill="1" applyAlignment="1">
      <alignment horizontal="center" vertical="center" wrapText="1"/>
    </xf>
    <xf numFmtId="166" fontId="13" fillId="12" borderId="6" xfId="0" applyNumberFormat="1" applyFont="1" applyFill="1" applyBorder="1" applyAlignment="1">
      <alignment horizontal="center" vertical="center"/>
    </xf>
    <xf numFmtId="166" fontId="5" fillId="8" borderId="0" xfId="0" applyNumberFormat="1" applyFont="1" applyFill="1" applyAlignment="1">
      <alignment horizontal="center" vertical="center" wrapText="1"/>
    </xf>
    <xf numFmtId="0" fontId="0" fillId="21" borderId="6" xfId="0" applyFont="1" applyFill="1" applyBorder="1" applyAlignment="1">
      <alignment horizontal="center" vertical="center" wrapText="1"/>
    </xf>
    <xf numFmtId="166" fontId="0" fillId="29" borderId="9" xfId="0" applyNumberFormat="1" applyFont="1" applyFill="1" applyBorder="1" applyAlignment="1">
      <alignment horizontal="center" vertical="center"/>
    </xf>
    <xf numFmtId="1" fontId="34" fillId="29" borderId="6" xfId="0" applyNumberFormat="1" applyFont="1" applyFill="1" applyBorder="1" applyAlignment="1">
      <alignment horizontal="center" vertical="center"/>
    </xf>
    <xf numFmtId="1" fontId="6" fillId="29" borderId="6" xfId="0" applyNumberFormat="1" applyFont="1" applyFill="1" applyBorder="1" applyAlignment="1">
      <alignment horizontal="center" vertical="center"/>
    </xf>
    <xf numFmtId="166" fontId="9" fillId="8" borderId="9" xfId="1" applyNumberFormat="1" applyFont="1" applyFill="1" applyBorder="1" applyAlignment="1">
      <alignment horizontal="center" vertical="center"/>
    </xf>
    <xf numFmtId="166" fontId="8" fillId="30" borderId="26" xfId="1" applyNumberFormat="1" applyFont="1" applyFill="1" applyBorder="1" applyAlignment="1">
      <alignment horizontal="center" vertical="center"/>
    </xf>
    <xf numFmtId="0" fontId="9" fillId="0" borderId="11" xfId="0" applyNumberFormat="1" applyFont="1" applyBorder="1" applyAlignment="1">
      <alignment horizontal="center" vertical="center"/>
    </xf>
    <xf numFmtId="3" fontId="0" fillId="21" borderId="6" xfId="0" applyNumberFormat="1" applyFont="1" applyFill="1" applyBorder="1" applyAlignment="1">
      <alignment horizontal="center" vertical="center" wrapText="1"/>
    </xf>
    <xf numFmtId="0" fontId="0" fillId="21" borderId="10" xfId="0" applyFont="1" applyFill="1" applyBorder="1" applyAlignment="1">
      <alignment horizontal="center" vertical="center" wrapText="1"/>
    </xf>
    <xf numFmtId="0" fontId="0" fillId="0" borderId="0" xfId="0" applyFont="1" applyAlignment="1">
      <alignment horizontal="center" wrapText="1"/>
    </xf>
    <xf numFmtId="0" fontId="13" fillId="0" borderId="0" xfId="0" applyFont="1" applyAlignment="1">
      <alignment horizontal="center" vertical="center" wrapText="1"/>
    </xf>
    <xf numFmtId="3" fontId="31" fillId="31" borderId="0" xfId="10" applyNumberFormat="1" applyFont="1" applyFill="1" applyAlignment="1">
      <alignment horizontal="center" vertical="center" wrapText="1"/>
    </xf>
    <xf numFmtId="3" fontId="0" fillId="0" borderId="0" xfId="0" applyNumberFormat="1" applyFont="1" applyAlignment="1">
      <alignment horizontal="center"/>
    </xf>
    <xf numFmtId="3" fontId="5" fillId="8" borderId="0" xfId="0" applyNumberFormat="1" applyFont="1" applyFill="1" applyAlignment="1">
      <alignment horizontal="center" vertical="center" wrapText="1"/>
    </xf>
    <xf numFmtId="3" fontId="13" fillId="0" borderId="0" xfId="0" applyNumberFormat="1" applyFont="1" applyAlignment="1">
      <alignment horizontal="center" vertical="center"/>
    </xf>
    <xf numFmtId="168" fontId="0" fillId="0" borderId="0" xfId="1" applyNumberFormat="1" applyFont="1"/>
    <xf numFmtId="3" fontId="0" fillId="46" borderId="6" xfId="0" applyNumberFormat="1" applyFont="1" applyFill="1" applyBorder="1" applyAlignment="1">
      <alignment horizontal="center" vertical="center" wrapText="1"/>
    </xf>
    <xf numFmtId="166" fontId="8" fillId="30" borderId="12" xfId="1" applyNumberFormat="1" applyFont="1" applyFill="1" applyBorder="1" applyAlignment="1">
      <alignment horizontal="center" vertical="center" wrapText="1"/>
    </xf>
    <xf numFmtId="0" fontId="8" fillId="29" borderId="11" xfId="1" applyNumberFormat="1" applyFont="1" applyFill="1" applyBorder="1" applyAlignment="1">
      <alignment horizontal="center" vertical="center" wrapText="1"/>
    </xf>
    <xf numFmtId="14" fontId="0" fillId="8" borderId="6" xfId="0" applyNumberFormat="1" applyFont="1" applyFill="1" applyBorder="1" applyAlignment="1">
      <alignment horizontal="center" vertical="center" wrapText="1"/>
    </xf>
    <xf numFmtId="166" fontId="0" fillId="29" borderId="26" xfId="1" applyNumberFormat="1" applyFont="1" applyFill="1" applyBorder="1" applyAlignment="1">
      <alignment horizontal="center" vertical="center"/>
    </xf>
    <xf numFmtId="166" fontId="8" fillId="29" borderId="26" xfId="0" applyNumberFormat="1" applyFont="1" applyFill="1" applyBorder="1" applyAlignment="1">
      <alignment horizontal="center" vertical="center"/>
    </xf>
    <xf numFmtId="166" fontId="8" fillId="29" borderId="12" xfId="1" applyNumberFormat="1" applyFont="1" applyFill="1" applyBorder="1" applyAlignment="1">
      <alignment horizontal="center" vertical="center" wrapText="1"/>
    </xf>
    <xf numFmtId="0" fontId="8" fillId="29" borderId="6" xfId="0" applyFont="1" applyFill="1" applyBorder="1" applyAlignment="1">
      <alignment horizontal="center" vertical="center" wrapText="1"/>
    </xf>
    <xf numFmtId="3" fontId="0" fillId="29" borderId="6" xfId="0" applyNumberFormat="1" applyFont="1" applyFill="1" applyBorder="1" applyAlignment="1">
      <alignment horizontal="center" vertical="center" wrapText="1"/>
    </xf>
    <xf numFmtId="168" fontId="30" fillId="8" borderId="6" xfId="1" applyNumberFormat="1" applyFont="1" applyFill="1" applyBorder="1" applyAlignment="1">
      <alignment horizontal="center" vertical="center" wrapText="1"/>
    </xf>
    <xf numFmtId="168" fontId="8" fillId="8" borderId="6" xfId="1" applyNumberFormat="1" applyFont="1" applyFill="1" applyBorder="1" applyAlignment="1">
      <alignment horizontal="center" vertical="center"/>
    </xf>
    <xf numFmtId="168" fontId="8" fillId="0" borderId="0" xfId="1" applyNumberFormat="1" applyFont="1" applyBorder="1" applyAlignment="1">
      <alignment horizontal="center"/>
    </xf>
    <xf numFmtId="168" fontId="8" fillId="0" borderId="0" xfId="1" applyNumberFormat="1" applyFont="1" applyAlignment="1">
      <alignment horizontal="center"/>
    </xf>
    <xf numFmtId="168" fontId="8" fillId="0" borderId="0" xfId="1" applyNumberFormat="1" applyFont="1" applyAlignment="1">
      <alignment horizontal="center" vertical="center"/>
    </xf>
    <xf numFmtId="168" fontId="8" fillId="8" borderId="6" xfId="1" applyNumberFormat="1" applyFont="1" applyFill="1" applyBorder="1" applyAlignment="1">
      <alignment horizontal="center" vertical="center" wrapText="1"/>
    </xf>
    <xf numFmtId="168" fontId="1" fillId="0" borderId="0" xfId="1" applyNumberFormat="1" applyFont="1" applyAlignment="1">
      <alignment horizontal="center" vertical="center"/>
    </xf>
    <xf numFmtId="168" fontId="9" fillId="8" borderId="6" xfId="1" applyNumberFormat="1" applyFont="1" applyFill="1" applyBorder="1" applyAlignment="1">
      <alignment horizontal="center" vertical="center"/>
    </xf>
    <xf numFmtId="166" fontId="8" fillId="29" borderId="9" xfId="0" applyNumberFormat="1" applyFont="1" applyFill="1" applyBorder="1" applyAlignment="1">
      <alignment horizontal="center" vertical="center"/>
    </xf>
    <xf numFmtId="1" fontId="35" fillId="45" borderId="6" xfId="0" applyNumberFormat="1" applyFont="1" applyFill="1" applyBorder="1" applyAlignment="1">
      <alignment horizontal="center" vertical="center"/>
    </xf>
    <xf numFmtId="166" fontId="8" fillId="29" borderId="6" xfId="2" applyNumberFormat="1" applyFont="1" applyFill="1" applyBorder="1" applyAlignment="1">
      <alignment horizontal="center" vertical="center"/>
    </xf>
    <xf numFmtId="164" fontId="9" fillId="8" borderId="6" xfId="0" applyNumberFormat="1" applyFont="1" applyFill="1" applyBorder="1" applyAlignment="1">
      <alignment horizontal="center" vertical="center"/>
    </xf>
    <xf numFmtId="168" fontId="0" fillId="0" borderId="0" xfId="0" applyNumberFormat="1"/>
    <xf numFmtId="14" fontId="0" fillId="29" borderId="6" xfId="0" applyNumberFormat="1" applyFont="1" applyFill="1" applyBorder="1" applyAlignment="1">
      <alignment horizontal="center" vertical="center" wrapText="1"/>
    </xf>
    <xf numFmtId="171" fontId="8" fillId="29" borderId="6" xfId="0" applyNumberFormat="1" applyFont="1" applyFill="1" applyBorder="1" applyAlignment="1">
      <alignment horizontal="center" vertical="center" wrapText="1"/>
    </xf>
    <xf numFmtId="14" fontId="9" fillId="12" borderId="6" xfId="0" applyNumberFormat="1" applyFont="1" applyFill="1" applyBorder="1" applyAlignment="1">
      <alignment horizontal="center" vertical="center"/>
    </xf>
    <xf numFmtId="14" fontId="8" fillId="29" borderId="26" xfId="1" applyNumberFormat="1" applyFont="1" applyFill="1" applyBorder="1" applyAlignment="1">
      <alignment horizontal="center" vertical="center"/>
    </xf>
    <xf numFmtId="4" fontId="0" fillId="0" borderId="0" xfId="0" applyNumberFormat="1"/>
    <xf numFmtId="166" fontId="6" fillId="29" borderId="6" xfId="0" applyNumberFormat="1" applyFont="1" applyFill="1" applyBorder="1" applyAlignment="1">
      <alignment horizontal="center" vertical="center"/>
    </xf>
    <xf numFmtId="168" fontId="30" fillId="16" borderId="1" xfId="1" applyNumberFormat="1" applyFont="1" applyFill="1" applyBorder="1" applyAlignment="1">
      <alignment horizontal="center" vertical="center" wrapText="1"/>
    </xf>
    <xf numFmtId="168" fontId="0" fillId="17" borderId="1" xfId="1" applyNumberFormat="1" applyFont="1" applyFill="1" applyBorder="1" applyAlignment="1">
      <alignment horizontal="center" vertical="center"/>
    </xf>
    <xf numFmtId="168" fontId="0" fillId="17" borderId="6" xfId="1" applyNumberFormat="1" applyFont="1" applyFill="1" applyBorder="1" applyAlignment="1">
      <alignment horizontal="center" vertical="center"/>
    </xf>
    <xf numFmtId="168" fontId="0" fillId="0" borderId="0" xfId="1" applyNumberFormat="1" applyFont="1" applyBorder="1" applyAlignment="1">
      <alignment horizontal="center"/>
    </xf>
    <xf numFmtId="168" fontId="0" fillId="0" borderId="0" xfId="1" applyNumberFormat="1" applyFont="1" applyAlignment="1">
      <alignment horizontal="center"/>
    </xf>
    <xf numFmtId="168" fontId="0" fillId="0" borderId="0" xfId="1" applyNumberFormat="1" applyFont="1" applyAlignment="1">
      <alignment horizontal="center" vertical="center"/>
    </xf>
    <xf numFmtId="165" fontId="30" fillId="11" borderId="9" xfId="1" applyFont="1" applyFill="1" applyBorder="1" applyAlignment="1">
      <alignment horizontal="center" vertical="center" wrapText="1"/>
    </xf>
    <xf numFmtId="167" fontId="0" fillId="11" borderId="9" xfId="0" applyNumberFormat="1" applyFont="1" applyFill="1" applyBorder="1" applyAlignment="1">
      <alignment horizontal="center" vertical="center"/>
    </xf>
    <xf numFmtId="165" fontId="30" fillId="16" borderId="11" xfId="1" applyFont="1" applyFill="1" applyBorder="1" applyAlignment="1">
      <alignment horizontal="center" vertical="center" wrapText="1"/>
    </xf>
    <xf numFmtId="167" fontId="0" fillId="17" borderId="11" xfId="0" applyNumberFormat="1" applyFont="1" applyFill="1" applyBorder="1" applyAlignment="1">
      <alignment horizontal="center" vertical="center"/>
    </xf>
    <xf numFmtId="165" fontId="30" fillId="11" borderId="27" xfId="1" applyFont="1" applyFill="1" applyBorder="1" applyAlignment="1">
      <alignment horizontal="center" vertical="center" wrapText="1"/>
    </xf>
    <xf numFmtId="167" fontId="8" fillId="19" borderId="12" xfId="0" applyNumberFormat="1" applyFont="1" applyFill="1" applyBorder="1" applyAlignment="1">
      <alignment horizontal="center" vertical="center"/>
    </xf>
    <xf numFmtId="9" fontId="0" fillId="29" borderId="6" xfId="2" applyFont="1" applyFill="1" applyBorder="1" applyAlignment="1">
      <alignment horizontal="center" vertical="center"/>
    </xf>
    <xf numFmtId="167" fontId="8" fillId="19" borderId="6" xfId="0" applyNumberFormat="1" applyFont="1" applyFill="1" applyBorder="1" applyAlignment="1">
      <alignment horizontal="center" vertical="center"/>
    </xf>
    <xf numFmtId="166" fontId="0" fillId="31" borderId="6" xfId="0" applyNumberFormat="1" applyFont="1" applyFill="1" applyBorder="1" applyAlignment="1">
      <alignment horizontal="center" vertical="center"/>
    </xf>
    <xf numFmtId="166" fontId="0" fillId="29" borderId="6" xfId="2" applyNumberFormat="1" applyFont="1" applyFill="1" applyBorder="1" applyAlignment="1">
      <alignment horizontal="center" vertical="center"/>
    </xf>
    <xf numFmtId="0" fontId="38" fillId="21" borderId="6" xfId="0" applyFont="1" applyFill="1" applyBorder="1" applyAlignment="1">
      <alignment horizontal="center" vertical="center" wrapText="1"/>
    </xf>
    <xf numFmtId="0" fontId="38" fillId="21" borderId="6" xfId="0" applyFont="1" applyFill="1" applyBorder="1" applyAlignment="1">
      <alignment horizontal="center" vertical="center"/>
    </xf>
    <xf numFmtId="14" fontId="0" fillId="12" borderId="6" xfId="0" applyNumberFormat="1" applyFont="1" applyFill="1" applyBorder="1" applyAlignment="1">
      <alignment horizontal="center" vertical="center"/>
    </xf>
    <xf numFmtId="17" fontId="0" fillId="36" borderId="6" xfId="0" applyNumberFormat="1" applyFont="1" applyFill="1" applyBorder="1" applyAlignment="1">
      <alignment horizontal="center" vertical="center" wrapText="1"/>
    </xf>
    <xf numFmtId="0" fontId="5" fillId="8" borderId="6" xfId="0" applyFont="1" applyFill="1" applyBorder="1" applyAlignment="1">
      <alignment horizontal="center" vertical="center"/>
    </xf>
    <xf numFmtId="166" fontId="8" fillId="8" borderId="6" xfId="0" applyNumberFormat="1" applyFont="1" applyFill="1" applyBorder="1" applyAlignment="1">
      <alignment horizontal="center" vertical="center" wrapText="1"/>
    </xf>
    <xf numFmtId="1" fontId="0" fillId="14" borderId="6" xfId="0" applyNumberFormat="1" applyFont="1" applyFill="1" applyBorder="1" applyAlignment="1">
      <alignment horizontal="center" vertical="center"/>
    </xf>
    <xf numFmtId="0" fontId="5" fillId="14" borderId="0" xfId="0" applyFont="1" applyFill="1" applyAlignment="1">
      <alignment horizontal="center" vertical="center" wrapText="1"/>
    </xf>
    <xf numFmtId="0" fontId="39" fillId="40" borderId="0" xfId="10" applyFont="1" applyFill="1" applyAlignment="1">
      <alignment horizontal="center" vertical="center" wrapText="1"/>
    </xf>
    <xf numFmtId="166" fontId="40" fillId="40" borderId="0" xfId="10" applyNumberFormat="1" applyFont="1" applyFill="1" applyAlignment="1">
      <alignment horizontal="center" vertical="center" wrapText="1"/>
    </xf>
    <xf numFmtId="166" fontId="39" fillId="40" borderId="0" xfId="10" applyNumberFormat="1" applyFont="1" applyFill="1" applyAlignment="1">
      <alignment horizontal="center" vertical="center" wrapText="1"/>
    </xf>
    <xf numFmtId="0" fontId="39" fillId="44" borderId="0" xfId="10" applyFont="1" applyFill="1" applyAlignment="1">
      <alignment horizontal="center" vertical="center" wrapText="1"/>
    </xf>
    <xf numFmtId="0" fontId="40" fillId="40" borderId="0" xfId="10" applyFont="1" applyFill="1" applyAlignment="1">
      <alignment horizontal="center" vertical="center" wrapText="1"/>
    </xf>
    <xf numFmtId="166" fontId="40" fillId="11" borderId="0" xfId="10" applyNumberFormat="1" applyFont="1" applyFill="1" applyAlignment="1">
      <alignment horizontal="center" vertical="center" wrapText="1"/>
    </xf>
    <xf numFmtId="166" fontId="39" fillId="11" borderId="0" xfId="10" applyNumberFormat="1" applyFont="1" applyFill="1" applyAlignment="1">
      <alignment horizontal="center" vertical="center" wrapText="1"/>
    </xf>
    <xf numFmtId="0" fontId="39" fillId="11" borderId="0" xfId="10" applyFont="1" applyFill="1" applyAlignment="1">
      <alignment horizontal="center" vertical="center" wrapText="1"/>
    </xf>
    <xf numFmtId="166" fontId="0" fillId="8" borderId="6" xfId="2" applyNumberFormat="1" applyFont="1" applyFill="1" applyBorder="1" applyAlignment="1">
      <alignment horizontal="center" vertical="center" wrapText="1"/>
    </xf>
    <xf numFmtId="3" fontId="8" fillId="38" borderId="6" xfId="7" applyNumberFormat="1" applyFont="1" applyFill="1" applyBorder="1" applyAlignment="1">
      <alignment horizontal="center" vertical="center" wrapText="1"/>
    </xf>
    <xf numFmtId="0" fontId="30" fillId="42" borderId="6" xfId="0" applyFont="1" applyFill="1" applyBorder="1" applyAlignment="1">
      <alignment horizontal="center" vertical="center" wrapText="1"/>
    </xf>
    <xf numFmtId="165" fontId="0" fillId="0" borderId="2" xfId="1" applyFont="1" applyBorder="1" applyAlignment="1">
      <alignment horizontal="center" vertical="center"/>
    </xf>
    <xf numFmtId="167" fontId="0" fillId="29" borderId="6" xfId="0" applyNumberFormat="1" applyFont="1" applyFill="1" applyBorder="1" applyAlignment="1">
      <alignment horizontal="center" vertical="center"/>
    </xf>
    <xf numFmtId="167" fontId="8" fillId="29" borderId="6" xfId="0" applyNumberFormat="1" applyFont="1" applyFill="1" applyBorder="1" applyAlignment="1">
      <alignment horizontal="center" vertical="center"/>
    </xf>
    <xf numFmtId="167" fontId="8" fillId="30" borderId="6" xfId="0" applyNumberFormat="1" applyFont="1" applyFill="1" applyBorder="1" applyAlignment="1">
      <alignment horizontal="center" vertical="center" wrapText="1"/>
    </xf>
    <xf numFmtId="167" fontId="0" fillId="30" borderId="6" xfId="0" applyNumberFormat="1" applyFont="1" applyFill="1" applyBorder="1" applyAlignment="1">
      <alignment horizontal="center" vertical="center"/>
    </xf>
    <xf numFmtId="167" fontId="8" fillId="29" borderId="6" xfId="1" applyNumberFormat="1" applyFont="1" applyFill="1" applyBorder="1" applyAlignment="1">
      <alignment horizontal="center" vertical="center"/>
    </xf>
    <xf numFmtId="167" fontId="9" fillId="8" borderId="6" xfId="0" applyNumberFormat="1" applyFont="1" applyFill="1" applyBorder="1" applyAlignment="1">
      <alignment horizontal="center" vertical="center"/>
    </xf>
    <xf numFmtId="1" fontId="42" fillId="45" borderId="6" xfId="0" applyNumberFormat="1" applyFont="1" applyFill="1" applyBorder="1" applyAlignment="1">
      <alignment horizontal="center" vertical="center"/>
    </xf>
    <xf numFmtId="166" fontId="9" fillId="8" borderId="12" xfId="0" applyNumberFormat="1" applyFont="1" applyFill="1" applyBorder="1" applyAlignment="1">
      <alignment horizontal="center" vertical="center"/>
    </xf>
    <xf numFmtId="1" fontId="9" fillId="8" borderId="6" xfId="0" applyNumberFormat="1" applyFont="1" applyFill="1" applyBorder="1" applyAlignment="1">
      <alignment horizontal="center" vertical="center"/>
    </xf>
    <xf numFmtId="1" fontId="9" fillId="8" borderId="6" xfId="2" applyNumberFormat="1" applyFont="1" applyFill="1" applyBorder="1" applyAlignment="1">
      <alignment horizontal="center" vertical="center"/>
    </xf>
    <xf numFmtId="14" fontId="9" fillId="15" borderId="6" xfId="7" applyNumberFormat="1" applyFont="1" applyFill="1" applyBorder="1" applyAlignment="1">
      <alignment horizontal="center" vertical="center"/>
    </xf>
    <xf numFmtId="166" fontId="43" fillId="40" borderId="0" xfId="10" applyNumberFormat="1" applyFont="1" applyFill="1" applyAlignment="1">
      <alignment horizontal="center" vertical="center" wrapText="1"/>
    </xf>
    <xf numFmtId="167" fontId="0" fillId="46" borderId="6" xfId="0" applyNumberFormat="1" applyFont="1" applyFill="1" applyBorder="1" applyAlignment="1">
      <alignment horizontal="center" vertical="center"/>
    </xf>
    <xf numFmtId="3" fontId="8" fillId="29" borderId="11" xfId="1" applyNumberFormat="1" applyFont="1" applyFill="1" applyBorder="1" applyAlignment="1">
      <alignment horizontal="center" vertical="center"/>
    </xf>
    <xf numFmtId="3" fontId="8" fillId="29" borderId="11" xfId="0" applyNumberFormat="1" applyFont="1" applyFill="1" applyBorder="1" applyAlignment="1">
      <alignment horizontal="center" vertical="center"/>
    </xf>
    <xf numFmtId="3" fontId="9" fillId="8" borderId="11" xfId="1" applyNumberFormat="1" applyFont="1" applyFill="1" applyBorder="1" applyAlignment="1">
      <alignment horizontal="center" vertical="center"/>
    </xf>
    <xf numFmtId="3" fontId="0" fillId="29" borderId="11" xfId="0" applyNumberFormat="1" applyFont="1" applyFill="1" applyBorder="1" applyAlignment="1">
      <alignment horizontal="center" vertical="center"/>
    </xf>
    <xf numFmtId="166" fontId="8" fillId="29" borderId="10" xfId="0" applyNumberFormat="1" applyFont="1" applyFill="1" applyBorder="1" applyAlignment="1">
      <alignment horizontal="center" vertical="center"/>
    </xf>
    <xf numFmtId="3" fontId="8" fillId="30" borderId="11" xfId="1" applyNumberFormat="1" applyFont="1" applyFill="1" applyBorder="1" applyAlignment="1">
      <alignment horizontal="center" vertical="center"/>
    </xf>
    <xf numFmtId="3" fontId="19" fillId="8" borderId="11" xfId="0" applyNumberFormat="1" applyFont="1" applyFill="1" applyBorder="1" applyAlignment="1">
      <alignment horizontal="center" vertical="center"/>
    </xf>
    <xf numFmtId="3" fontId="8" fillId="8" borderId="11" xfId="0" applyNumberFormat="1" applyFont="1" applyFill="1" applyBorder="1" applyAlignment="1">
      <alignment horizontal="center" vertical="center"/>
    </xf>
    <xf numFmtId="3" fontId="0" fillId="29" borderId="28" xfId="1" applyNumberFormat="1" applyFont="1" applyFill="1" applyBorder="1" applyAlignment="1">
      <alignment horizontal="center" vertical="center"/>
    </xf>
    <xf numFmtId="3" fontId="8" fillId="29" borderId="28" xfId="1" applyNumberFormat="1" applyFont="1" applyFill="1" applyBorder="1" applyAlignment="1">
      <alignment horizontal="center" vertical="center" wrapText="1"/>
    </xf>
    <xf numFmtId="3" fontId="8" fillId="29" borderId="28" xfId="1" applyNumberFormat="1" applyFont="1" applyFill="1" applyBorder="1" applyAlignment="1">
      <alignment horizontal="center" vertical="center"/>
    </xf>
    <xf numFmtId="3" fontId="8" fillId="29" borderId="28" xfId="0" applyNumberFormat="1" applyFont="1" applyFill="1" applyBorder="1" applyAlignment="1">
      <alignment horizontal="center" vertical="center"/>
    </xf>
    <xf numFmtId="3" fontId="0" fillId="29" borderId="28" xfId="0" applyNumberFormat="1" applyFont="1" applyFill="1" applyBorder="1" applyAlignment="1">
      <alignment horizontal="center" vertical="center"/>
    </xf>
    <xf numFmtId="1" fontId="8" fillId="29" borderId="28" xfId="1" applyNumberFormat="1" applyFont="1" applyFill="1" applyBorder="1" applyAlignment="1">
      <alignment horizontal="center" vertical="center"/>
    </xf>
    <xf numFmtId="1" fontId="0" fillId="29" borderId="28" xfId="0" applyNumberFormat="1" applyFont="1" applyFill="1" applyBorder="1" applyAlignment="1">
      <alignment horizontal="center" vertical="center"/>
    </xf>
    <xf numFmtId="3" fontId="30" fillId="31" borderId="28" xfId="1" applyNumberFormat="1" applyFont="1" applyFill="1" applyBorder="1" applyAlignment="1">
      <alignment horizontal="center" vertical="center" wrapText="1"/>
    </xf>
    <xf numFmtId="191" fontId="8" fillId="25" borderId="28" xfId="1" applyNumberFormat="1" applyFont="1" applyFill="1" applyBorder="1" applyAlignment="1">
      <alignment horizontal="center" vertical="center"/>
    </xf>
    <xf numFmtId="3" fontId="9" fillId="25" borderId="28" xfId="0" applyNumberFormat="1" applyFont="1" applyFill="1" applyBorder="1" applyAlignment="1">
      <alignment horizontal="center" vertical="center"/>
    </xf>
    <xf numFmtId="1" fontId="19" fillId="25" borderId="28" xfId="1" applyNumberFormat="1" applyFont="1" applyFill="1" applyBorder="1" applyAlignment="1">
      <alignment horizontal="center" vertical="center"/>
    </xf>
    <xf numFmtId="0" fontId="30" fillId="31" borderId="28" xfId="1" applyNumberFormat="1" applyFont="1" applyFill="1" applyBorder="1" applyAlignment="1">
      <alignment horizontal="center" vertical="center" wrapText="1"/>
    </xf>
    <xf numFmtId="166" fontId="9" fillId="12" borderId="26" xfId="1" applyNumberFormat="1" applyFont="1" applyFill="1" applyBorder="1" applyAlignment="1">
      <alignment horizontal="center" vertical="center"/>
    </xf>
    <xf numFmtId="166" fontId="9" fillId="12" borderId="12" xfId="1" applyNumberFormat="1" applyFont="1" applyFill="1" applyBorder="1" applyAlignment="1">
      <alignment horizontal="center" vertical="center"/>
    </xf>
    <xf numFmtId="166" fontId="9" fillId="12" borderId="26" xfId="0" applyNumberFormat="1" applyFont="1" applyFill="1" applyBorder="1" applyAlignment="1">
      <alignment horizontal="center" vertical="center"/>
    </xf>
    <xf numFmtId="166" fontId="8" fillId="29" borderId="26" xfId="1" applyNumberFormat="1" applyFont="1" applyFill="1" applyBorder="1" applyAlignment="1">
      <alignment horizontal="center" vertical="center" wrapText="1"/>
    </xf>
    <xf numFmtId="170" fontId="8" fillId="29" borderId="6" xfId="0" applyNumberFormat="1" applyFont="1" applyFill="1" applyBorder="1" applyAlignment="1">
      <alignment horizontal="center" vertical="center"/>
    </xf>
    <xf numFmtId="165" fontId="0" fillId="0" borderId="0" xfId="1" applyFont="1" applyAlignment="1">
      <alignment horizontal="center" vertical="center"/>
    </xf>
    <xf numFmtId="14" fontId="0" fillId="0" borderId="0" xfId="0" applyNumberFormat="1" applyFont="1" applyAlignment="1">
      <alignment horizontal="center" vertical="center"/>
    </xf>
    <xf numFmtId="3" fontId="0" fillId="46" borderId="10" xfId="0" applyNumberFormat="1" applyFont="1" applyFill="1" applyBorder="1" applyAlignment="1">
      <alignment horizontal="center" vertical="center"/>
    </xf>
    <xf numFmtId="10" fontId="0" fillId="46" borderId="6" xfId="2" applyNumberFormat="1" applyFont="1" applyFill="1" applyBorder="1" applyAlignment="1">
      <alignment horizontal="center" vertical="center"/>
    </xf>
    <xf numFmtId="10" fontId="0" fillId="29" borderId="6" xfId="2" applyNumberFormat="1" applyFont="1" applyFill="1" applyBorder="1" applyAlignment="1">
      <alignment horizontal="center" vertical="center"/>
    </xf>
    <xf numFmtId="14" fontId="35" fillId="29" borderId="6" xfId="10" applyNumberFormat="1" applyFont="1" applyFill="1" applyBorder="1" applyAlignment="1">
      <alignment horizontal="center" vertical="center" wrapText="1"/>
    </xf>
    <xf numFmtId="166" fontId="45" fillId="11" borderId="29" xfId="10" applyNumberFormat="1" applyFont="1" applyFill="1" applyBorder="1" applyAlignment="1">
      <alignment horizontal="center" vertical="center" wrapText="1"/>
    </xf>
    <xf numFmtId="3" fontId="46" fillId="21" borderId="6" xfId="10" applyNumberFormat="1" applyFont="1" applyFill="1" applyBorder="1" applyAlignment="1">
      <alignment horizontal="center" vertical="center" wrapText="1"/>
    </xf>
    <xf numFmtId="166" fontId="31" fillId="11" borderId="30" xfId="10" applyNumberFormat="1" applyFont="1" applyFill="1" applyBorder="1" applyAlignment="1">
      <alignment horizontal="center" vertical="center" wrapText="1"/>
    </xf>
    <xf numFmtId="166" fontId="47" fillId="11" borderId="29" xfId="10" applyNumberFormat="1" applyFont="1" applyFill="1" applyBorder="1" applyAlignment="1">
      <alignment horizontal="center" vertical="center" wrapText="1"/>
    </xf>
    <xf numFmtId="0" fontId="0" fillId="29" borderId="1" xfId="0" applyFont="1" applyFill="1" applyBorder="1" applyAlignment="1">
      <alignment horizontal="center" vertical="center"/>
    </xf>
    <xf numFmtId="0" fontId="6" fillId="27" borderId="6" xfId="0" applyFont="1" applyFill="1" applyBorder="1" applyAlignment="1">
      <alignment horizontal="center" vertical="center"/>
    </xf>
    <xf numFmtId="0" fontId="30" fillId="50" borderId="1" xfId="0" applyFont="1" applyFill="1" applyBorder="1" applyAlignment="1">
      <alignment horizontal="center" vertical="center" wrapText="1"/>
    </xf>
    <xf numFmtId="1" fontId="0" fillId="50" borderId="1" xfId="0" applyNumberFormat="1" applyFont="1" applyFill="1" applyBorder="1" applyAlignment="1">
      <alignment horizontal="center" vertical="center"/>
    </xf>
    <xf numFmtId="1" fontId="0" fillId="50" borderId="6" xfId="0" applyNumberFormat="1" applyFont="1" applyFill="1" applyBorder="1" applyAlignment="1">
      <alignment horizontal="center" vertical="center"/>
    </xf>
    <xf numFmtId="0" fontId="6" fillId="8" borderId="6" xfId="0" applyFont="1" applyFill="1" applyBorder="1" applyAlignment="1">
      <alignment horizontal="center" vertical="center" wrapText="1"/>
    </xf>
    <xf numFmtId="0" fontId="0" fillId="8" borderId="11" xfId="0" applyFont="1" applyFill="1" applyBorder="1" applyAlignment="1">
      <alignment horizontal="center" vertical="center"/>
    </xf>
    <xf numFmtId="191" fontId="8" fillId="29" borderId="28" xfId="1" applyNumberFormat="1" applyFont="1" applyFill="1" applyBorder="1" applyAlignment="1">
      <alignment horizontal="center" vertical="center"/>
    </xf>
    <xf numFmtId="166" fontId="9" fillId="12" borderId="9" xfId="0" applyNumberFormat="1" applyFont="1" applyFill="1" applyBorder="1" applyAlignment="1">
      <alignment horizontal="center" vertical="center"/>
    </xf>
    <xf numFmtId="3" fontId="30" fillId="11" borderId="6" xfId="1" applyNumberFormat="1" applyFont="1" applyFill="1" applyBorder="1" applyAlignment="1">
      <alignment horizontal="center" vertical="center" wrapText="1"/>
    </xf>
    <xf numFmtId="3" fontId="8" fillId="11" borderId="6" xfId="1" applyNumberFormat="1" applyFont="1" applyFill="1" applyBorder="1" applyAlignment="1">
      <alignment horizontal="center" vertical="center" wrapText="1"/>
    </xf>
    <xf numFmtId="177" fontId="8" fillId="29" borderId="28" xfId="1" applyNumberFormat="1" applyFont="1" applyFill="1" applyBorder="1" applyAlignment="1">
      <alignment horizontal="center" vertical="center"/>
    </xf>
    <xf numFmtId="14" fontId="8" fillId="29" borderId="6" xfId="0" applyNumberFormat="1" applyFont="1" applyFill="1" applyBorder="1" applyAlignment="1">
      <alignment horizontal="center" vertical="center" wrapText="1"/>
    </xf>
    <xf numFmtId="165" fontId="0" fillId="0" borderId="0" xfId="1" applyFont="1" applyBorder="1" applyAlignment="1">
      <alignment horizontal="center" vertical="center"/>
    </xf>
    <xf numFmtId="3" fontId="8" fillId="8" borderId="6" xfId="0" applyNumberFormat="1" applyFont="1" applyFill="1" applyBorder="1" applyAlignment="1">
      <alignment horizontal="center" vertical="center" wrapText="1"/>
    </xf>
    <xf numFmtId="168" fontId="0" fillId="8" borderId="6" xfId="1" applyNumberFormat="1" applyFont="1" applyFill="1" applyBorder="1" applyAlignment="1">
      <alignment horizontal="center" vertical="center"/>
    </xf>
    <xf numFmtId="165" fontId="30" fillId="8" borderId="6" xfId="1" applyFont="1" applyFill="1" applyBorder="1" applyAlignment="1">
      <alignment horizontal="center" vertical="center" wrapText="1"/>
    </xf>
    <xf numFmtId="165" fontId="5" fillId="8" borderId="0" xfId="1" applyFont="1" applyFill="1" applyBorder="1" applyAlignment="1">
      <alignment horizontal="center"/>
    </xf>
    <xf numFmtId="3" fontId="8" fillId="29" borderId="6" xfId="1" applyNumberFormat="1" applyFont="1" applyFill="1" applyBorder="1" applyAlignment="1">
      <alignment horizontal="center" vertical="center"/>
    </xf>
    <xf numFmtId="14" fontId="8" fillId="50" borderId="6" xfId="7" applyNumberFormat="1" applyFont="1" applyFill="1" applyBorder="1" applyAlignment="1">
      <alignment horizontal="center" vertical="center"/>
    </xf>
    <xf numFmtId="0" fontId="6" fillId="40" borderId="6" xfId="0" applyFont="1" applyFill="1" applyBorder="1" applyAlignment="1">
      <alignment horizontal="center" vertical="center"/>
    </xf>
    <xf numFmtId="165" fontId="5" fillId="0" borderId="0" xfId="1" applyFont="1" applyAlignment="1">
      <alignment horizontal="right" vertical="center"/>
    </xf>
    <xf numFmtId="165" fontId="6" fillId="0" borderId="0" xfId="1" applyFont="1" applyAlignment="1">
      <alignment horizontal="center" vertical="center" wrapText="1"/>
    </xf>
    <xf numFmtId="165" fontId="0" fillId="0" borderId="0" xfId="1" applyFont="1" applyAlignment="1">
      <alignment horizontal="center" vertical="center" wrapText="1"/>
    </xf>
    <xf numFmtId="165" fontId="8" fillId="0" borderId="0" xfId="1" applyFont="1" applyAlignment="1">
      <alignment horizontal="center"/>
    </xf>
    <xf numFmtId="165" fontId="8" fillId="0" borderId="0" xfId="1" applyFont="1" applyAlignment="1">
      <alignment horizontal="center" vertical="center"/>
    </xf>
    <xf numFmtId="165" fontId="0" fillId="0" borderId="0" xfId="1" applyFont="1" applyAlignment="1">
      <alignment horizontal="center"/>
    </xf>
    <xf numFmtId="165" fontId="6" fillId="0" borderId="0" xfId="1" applyFont="1" applyAlignment="1">
      <alignment horizontal="center"/>
    </xf>
    <xf numFmtId="165" fontId="5" fillId="8" borderId="0" xfId="1" applyFont="1" applyFill="1" applyAlignment="1">
      <alignment horizontal="center" vertical="center" wrapText="1"/>
    </xf>
    <xf numFmtId="167" fontId="0" fillId="14" borderId="12" xfId="0" applyNumberFormat="1" applyFont="1" applyFill="1" applyBorder="1" applyAlignment="1">
      <alignment horizontal="center" vertical="center"/>
    </xf>
    <xf numFmtId="168" fontId="0" fillId="0" borderId="2" xfId="1" applyNumberFormat="1" applyFont="1" applyBorder="1" applyAlignment="1">
      <alignment horizontal="center" vertical="center"/>
    </xf>
    <xf numFmtId="1" fontId="0" fillId="8" borderId="6" xfId="2" applyNumberFormat="1" applyFont="1" applyFill="1" applyBorder="1" applyAlignment="1">
      <alignment horizontal="center" vertical="center"/>
    </xf>
    <xf numFmtId="2" fontId="0" fillId="9" borderId="6" xfId="2" applyNumberFormat="1" applyFont="1" applyFill="1" applyBorder="1" applyAlignment="1">
      <alignment horizontal="center" vertical="center"/>
    </xf>
    <xf numFmtId="2" fontId="0" fillId="9" borderId="6" xfId="2" applyNumberFormat="1" applyFont="1" applyFill="1" applyBorder="1" applyAlignment="1">
      <alignment horizontal="center" vertical="center" wrapText="1"/>
    </xf>
    <xf numFmtId="2" fontId="8" fillId="9" borderId="6" xfId="2" applyNumberFormat="1" applyFont="1" applyFill="1" applyBorder="1" applyAlignment="1">
      <alignment horizontal="center" vertical="center" wrapText="1"/>
    </xf>
    <xf numFmtId="2" fontId="8" fillId="9" borderId="6" xfId="2" applyNumberFormat="1" applyFont="1" applyFill="1" applyBorder="1" applyAlignment="1">
      <alignment horizontal="center" vertical="center"/>
    </xf>
    <xf numFmtId="166" fontId="9" fillId="12" borderId="6" xfId="1" applyNumberFormat="1" applyFont="1" applyFill="1" applyBorder="1" applyAlignment="1">
      <alignment horizontal="center" vertical="center"/>
    </xf>
    <xf numFmtId="1" fontId="8" fillId="30" borderId="11" xfId="0" applyNumberFormat="1" applyFont="1" applyFill="1" applyBorder="1" applyAlignment="1">
      <alignment horizontal="center" vertical="center"/>
    </xf>
    <xf numFmtId="165" fontId="8" fillId="8" borderId="6" xfId="3" applyNumberFormat="1" applyFont="1" applyFill="1" applyBorder="1" applyAlignment="1">
      <alignment horizontal="center" vertical="center" wrapText="1"/>
    </xf>
    <xf numFmtId="0" fontId="8" fillId="8" borderId="6" xfId="3" applyFont="1" applyFill="1" applyBorder="1" applyAlignment="1">
      <alignment horizontal="center" vertical="center"/>
    </xf>
    <xf numFmtId="165" fontId="5" fillId="8" borderId="6" xfId="3" applyNumberFormat="1" applyFont="1" applyFill="1" applyBorder="1" applyAlignment="1">
      <alignment horizontal="center" vertical="center" wrapText="1"/>
    </xf>
    <xf numFmtId="0" fontId="30" fillId="33" borderId="25" xfId="1" applyNumberFormat="1" applyFont="1" applyFill="1" applyBorder="1" applyAlignment="1">
      <alignment horizontal="center" vertical="center" wrapText="1"/>
    </xf>
    <xf numFmtId="166" fontId="31" fillId="11" borderId="31" xfId="10" applyNumberFormat="1" applyFont="1" applyFill="1" applyBorder="1" applyAlignment="1">
      <alignment horizontal="center" vertical="center" wrapText="1"/>
    </xf>
    <xf numFmtId="166" fontId="8" fillId="29" borderId="32" xfId="1" applyNumberFormat="1" applyFont="1" applyFill="1" applyBorder="1" applyAlignment="1">
      <alignment horizontal="center" vertical="center"/>
    </xf>
    <xf numFmtId="166" fontId="9" fillId="12" borderId="32" xfId="1" applyNumberFormat="1" applyFont="1" applyFill="1" applyBorder="1" applyAlignment="1">
      <alignment horizontal="center" vertical="center"/>
    </xf>
    <xf numFmtId="166" fontId="9" fillId="12" borderId="33" xfId="1" applyNumberFormat="1" applyFont="1" applyFill="1" applyBorder="1" applyAlignment="1">
      <alignment horizontal="center" vertical="center"/>
    </xf>
    <xf numFmtId="166" fontId="9" fillId="12" borderId="11" xfId="1" applyNumberFormat="1" applyFont="1" applyFill="1" applyBorder="1" applyAlignment="1">
      <alignment horizontal="center" vertical="center"/>
    </xf>
    <xf numFmtId="166" fontId="9" fillId="29" borderId="12" xfId="1" applyNumberFormat="1" applyFont="1" applyFill="1" applyBorder="1" applyAlignment="1">
      <alignment horizontal="center" vertical="center"/>
    </xf>
    <xf numFmtId="14" fontId="0" fillId="29" borderId="6" xfId="2" applyNumberFormat="1" applyFont="1" applyFill="1" applyBorder="1" applyAlignment="1">
      <alignment horizontal="center" vertical="center"/>
    </xf>
    <xf numFmtId="165" fontId="8" fillId="8" borderId="6" xfId="1" applyFont="1" applyFill="1" applyBorder="1" applyAlignment="1">
      <alignment horizontal="center" vertical="center" wrapText="1"/>
    </xf>
    <xf numFmtId="0" fontId="0" fillId="21" borderId="6" xfId="0" applyFont="1" applyFill="1" applyBorder="1" applyAlignment="1">
      <alignment horizontal="left" vertical="center" wrapText="1"/>
    </xf>
    <xf numFmtId="0" fontId="0" fillId="0" borderId="0" xfId="0" applyFont="1" applyAlignment="1">
      <alignment horizontal="left" wrapText="1"/>
    </xf>
    <xf numFmtId="0" fontId="5" fillId="8" borderId="0" xfId="0" applyFont="1" applyFill="1" applyAlignment="1">
      <alignment horizontal="left" vertical="center" wrapText="1"/>
    </xf>
    <xf numFmtId="0" fontId="13" fillId="0" borderId="0" xfId="0" applyFont="1" applyAlignment="1">
      <alignment horizontal="left" vertical="center" wrapText="1"/>
    </xf>
    <xf numFmtId="166" fontId="48" fillId="40" borderId="0" xfId="10" applyNumberFormat="1" applyFont="1" applyFill="1" applyAlignment="1">
      <alignment horizontal="center" vertical="center" wrapText="1"/>
    </xf>
    <xf numFmtId="166" fontId="47" fillId="40" borderId="0" xfId="10" applyNumberFormat="1" applyFont="1" applyFill="1" applyAlignment="1">
      <alignment horizontal="center" vertical="center" wrapText="1"/>
    </xf>
    <xf numFmtId="0" fontId="5" fillId="15" borderId="1" xfId="7" applyFont="1" applyFill="1" applyBorder="1" applyAlignment="1">
      <alignment horizontal="center" vertical="center" wrapText="1"/>
    </xf>
    <xf numFmtId="0" fontId="8" fillId="8" borderId="1" xfId="0" applyFont="1" applyFill="1" applyBorder="1" applyAlignment="1">
      <alignment horizontal="center" vertical="center" wrapText="1"/>
    </xf>
    <xf numFmtId="0" fontId="8" fillId="15" borderId="1" xfId="7" applyFont="1" applyFill="1" applyBorder="1" applyAlignment="1">
      <alignment horizontal="center" vertical="center" wrapText="1"/>
    </xf>
    <xf numFmtId="0" fontId="8" fillId="35" borderId="1" xfId="7" applyFont="1" applyFill="1" applyBorder="1" applyAlignment="1">
      <alignment horizontal="center" vertical="center" wrapText="1"/>
    </xf>
    <xf numFmtId="3" fontId="8" fillId="11" borderId="1" xfId="1" applyNumberFormat="1" applyFont="1" applyFill="1" applyBorder="1" applyAlignment="1">
      <alignment horizontal="center" vertical="center" wrapText="1"/>
    </xf>
    <xf numFmtId="3" fontId="7" fillId="38" borderId="6" xfId="0" applyNumberFormat="1" applyFont="1" applyFill="1" applyBorder="1" applyAlignment="1">
      <alignment horizontal="center" vertical="center"/>
    </xf>
    <xf numFmtId="166" fontId="0" fillId="12" borderId="33" xfId="0" applyNumberFormat="1" applyFont="1" applyFill="1" applyBorder="1" applyAlignment="1">
      <alignment horizontal="center" vertical="center"/>
    </xf>
    <xf numFmtId="0" fontId="8" fillId="14" borderId="1" xfId="0" applyFont="1" applyFill="1" applyBorder="1" applyAlignment="1">
      <alignment horizontal="center" vertical="center" wrapText="1"/>
    </xf>
    <xf numFmtId="14" fontId="9" fillId="35" borderId="6" xfId="7" applyNumberFormat="1" applyFont="1" applyFill="1" applyBorder="1" applyAlignment="1">
      <alignment horizontal="center" vertical="center"/>
    </xf>
    <xf numFmtId="166" fontId="8" fillId="29" borderId="6" xfId="7" applyNumberFormat="1" applyFont="1" applyFill="1" applyBorder="1" applyAlignment="1">
      <alignment horizontal="center" vertical="center" wrapText="1"/>
    </xf>
    <xf numFmtId="3" fontId="8" fillId="29" borderId="6" xfId="7" applyNumberFormat="1" applyFont="1" applyFill="1" applyBorder="1" applyAlignment="1">
      <alignment horizontal="center" vertical="center" wrapText="1"/>
    </xf>
    <xf numFmtId="2" fontId="8" fillId="38" borderId="6" xfId="7" applyNumberFormat="1" applyFont="1" applyFill="1" applyBorder="1" applyAlignment="1">
      <alignment horizontal="center" vertical="center" wrapText="1"/>
    </xf>
    <xf numFmtId="166" fontId="5" fillId="35" borderId="1" xfId="7" applyNumberFormat="1" applyFont="1" applyFill="1" applyBorder="1" applyAlignment="1">
      <alignment horizontal="center" vertical="center" wrapText="1"/>
    </xf>
    <xf numFmtId="3" fontId="8" fillId="0" borderId="0" xfId="0" applyNumberFormat="1" applyFont="1" applyAlignment="1">
      <alignment horizontal="center" vertical="center"/>
    </xf>
    <xf numFmtId="0" fontId="6" fillId="0" borderId="6" xfId="0" applyFont="1" applyFill="1" applyBorder="1" applyAlignment="1">
      <alignment horizontal="center" vertical="center"/>
    </xf>
    <xf numFmtId="167" fontId="8" fillId="29" borderId="12" xfId="0" applyNumberFormat="1" applyFont="1" applyFill="1" applyBorder="1" applyAlignment="1">
      <alignment horizontal="center" vertical="center"/>
    </xf>
    <xf numFmtId="164" fontId="6" fillId="27" borderId="5" xfId="0" applyNumberFormat="1" applyFont="1" applyFill="1" applyBorder="1" applyAlignment="1"/>
    <xf numFmtId="0" fontId="6" fillId="0" borderId="14" xfId="0" applyFont="1" applyBorder="1" applyAlignment="1">
      <alignment horizontal="center" vertical="center"/>
    </xf>
    <xf numFmtId="1" fontId="19" fillId="25" borderId="12" xfId="1" applyNumberFormat="1" applyFont="1" applyFill="1" applyBorder="1" applyAlignment="1">
      <alignment horizontal="center" vertical="center"/>
    </xf>
    <xf numFmtId="166" fontId="9" fillId="12" borderId="28" xfId="1" applyNumberFormat="1" applyFont="1" applyFill="1" applyBorder="1" applyAlignment="1">
      <alignment horizontal="center" vertical="center"/>
    </xf>
    <xf numFmtId="0" fontId="6" fillId="29" borderId="1" xfId="0" applyFont="1" applyFill="1" applyBorder="1" applyAlignment="1">
      <alignment horizontal="center" vertical="center"/>
    </xf>
    <xf numFmtId="0" fontId="8" fillId="35" borderId="6" xfId="7" applyFont="1" applyFill="1" applyBorder="1" applyAlignment="1">
      <alignment horizontal="center" vertical="center" wrapText="1"/>
    </xf>
    <xf numFmtId="3" fontId="9" fillId="46" borderId="6" xfId="0" applyNumberFormat="1" applyFont="1" applyFill="1" applyBorder="1" applyAlignment="1">
      <alignment horizontal="center" vertical="center"/>
    </xf>
    <xf numFmtId="14" fontId="8" fillId="35" borderId="1" xfId="7" applyNumberFormat="1" applyFont="1" applyFill="1" applyBorder="1" applyAlignment="1">
      <alignment horizontal="center" vertical="center" wrapText="1"/>
    </xf>
    <xf numFmtId="9" fontId="19" fillId="30" borderId="6" xfId="2" applyFont="1" applyFill="1" applyBorder="1" applyAlignment="1">
      <alignment horizontal="center" vertical="center"/>
    </xf>
    <xf numFmtId="0" fontId="8" fillId="30" borderId="11" xfId="0" applyNumberFormat="1" applyFont="1" applyFill="1" applyBorder="1" applyAlignment="1">
      <alignment horizontal="center" vertical="center"/>
    </xf>
    <xf numFmtId="1" fontId="0" fillId="12" borderId="9" xfId="0" applyNumberFormat="1" applyFont="1" applyFill="1" applyBorder="1" applyAlignment="1">
      <alignment horizontal="center" vertical="center"/>
    </xf>
    <xf numFmtId="167" fontId="8" fillId="11" borderId="1" xfId="0" applyNumberFormat="1" applyFont="1" applyFill="1" applyBorder="1" applyAlignment="1">
      <alignment horizontal="center" vertical="center"/>
    </xf>
    <xf numFmtId="167" fontId="9" fillId="29" borderId="6" xfId="0" applyNumberFormat="1" applyFont="1" applyFill="1" applyBorder="1" applyAlignment="1">
      <alignment horizontal="center" vertical="center"/>
    </xf>
    <xf numFmtId="3" fontId="8" fillId="8" borderId="6" xfId="3" applyNumberFormat="1" applyFont="1" applyFill="1" applyBorder="1" applyAlignment="1">
      <alignment horizontal="center" vertical="center"/>
    </xf>
    <xf numFmtId="168" fontId="8" fillId="11" borderId="6" xfId="1" applyNumberFormat="1" applyFont="1" applyFill="1" applyBorder="1" applyAlignment="1">
      <alignment horizontal="center" vertical="center" wrapText="1"/>
    </xf>
    <xf numFmtId="0" fontId="30" fillId="8" borderId="6" xfId="5" applyFont="1" applyFill="1" applyBorder="1" applyAlignment="1">
      <alignment horizontal="center" vertical="center" wrapText="1"/>
    </xf>
    <xf numFmtId="14" fontId="8" fillId="8" borderId="6" xfId="5" applyNumberFormat="1" applyFont="1" applyFill="1" applyBorder="1" applyAlignment="1">
      <alignment horizontal="center" vertical="center"/>
    </xf>
    <xf numFmtId="4" fontId="0" fillId="0" borderId="0" xfId="0" applyNumberFormat="1" applyFont="1" applyBorder="1" applyAlignment="1">
      <alignment horizontal="center" vertical="center"/>
    </xf>
    <xf numFmtId="0" fontId="8" fillId="8" borderId="0" xfId="0" applyFont="1" applyFill="1" applyBorder="1" applyAlignment="1">
      <alignment horizontal="center"/>
    </xf>
    <xf numFmtId="4" fontId="8" fillId="0" borderId="0" xfId="0" applyNumberFormat="1" applyFont="1" applyAlignment="1">
      <alignment horizontal="center"/>
    </xf>
    <xf numFmtId="165" fontId="8" fillId="0" borderId="2" xfId="1" applyFont="1" applyBorder="1" applyAlignment="1">
      <alignment horizontal="center" vertical="center"/>
    </xf>
    <xf numFmtId="4" fontId="8" fillId="0" borderId="0" xfId="0" applyNumberFormat="1" applyFont="1" applyBorder="1" applyAlignment="1">
      <alignment horizontal="center" vertical="center"/>
    </xf>
    <xf numFmtId="14" fontId="8" fillId="8" borderId="6" xfId="5" applyNumberFormat="1" applyFont="1" applyFill="1" applyBorder="1" applyAlignment="1">
      <alignment horizontal="center" vertical="center" wrapText="1"/>
    </xf>
    <xf numFmtId="0" fontId="30" fillId="0" borderId="6" xfId="0" applyFont="1" applyFill="1" applyBorder="1" applyAlignment="1">
      <alignment horizontal="center" vertical="center" wrapText="1"/>
    </xf>
    <xf numFmtId="4" fontId="8" fillId="0" borderId="6" xfId="0" applyNumberFormat="1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center"/>
    </xf>
    <xf numFmtId="4" fontId="8" fillId="0" borderId="0" xfId="0" applyNumberFormat="1" applyFont="1" applyFill="1" applyAlignment="1">
      <alignment horizontal="center"/>
    </xf>
    <xf numFmtId="165" fontId="8" fillId="0" borderId="2" xfId="1" applyFont="1" applyFill="1" applyBorder="1" applyAlignment="1">
      <alignment horizontal="center" vertical="center"/>
    </xf>
    <xf numFmtId="4" fontId="8" fillId="0" borderId="0" xfId="0" applyNumberFormat="1" applyFont="1" applyFill="1" applyBorder="1" applyAlignment="1">
      <alignment horizontal="center" vertical="center"/>
    </xf>
    <xf numFmtId="0" fontId="8" fillId="0" borderId="0" xfId="0" applyFont="1" applyFill="1" applyAlignment="1">
      <alignment horizontal="center" vertical="center"/>
    </xf>
    <xf numFmtId="3" fontId="44" fillId="46" borderId="6" xfId="10" applyNumberFormat="1" applyFont="1" applyFill="1" applyBorder="1" applyAlignment="1">
      <alignment horizontal="center" vertical="center" wrapText="1"/>
    </xf>
    <xf numFmtId="3" fontId="36" fillId="49" borderId="6" xfId="10" applyNumberFormat="1" applyFont="1" applyFill="1" applyBorder="1" applyAlignment="1">
      <alignment horizontal="center" vertical="center" wrapText="1"/>
    </xf>
    <xf numFmtId="0" fontId="0" fillId="21" borderId="0" xfId="0" applyFont="1" applyFill="1" applyBorder="1" applyAlignment="1">
      <alignment horizontal="center" vertical="center"/>
    </xf>
    <xf numFmtId="3" fontId="36" fillId="49" borderId="6" xfId="10" applyNumberFormat="1" applyFont="1" applyFill="1" applyBorder="1" applyAlignment="1">
      <alignment horizontal="right" vertical="center" wrapText="1"/>
    </xf>
    <xf numFmtId="0" fontId="0" fillId="21" borderId="0" xfId="0" applyFont="1" applyFill="1" applyBorder="1" applyAlignment="1">
      <alignment horizontal="center" vertical="center" wrapText="1"/>
    </xf>
    <xf numFmtId="1" fontId="22" fillId="51" borderId="6" xfId="0" applyNumberFormat="1" applyFont="1" applyFill="1" applyBorder="1" applyAlignment="1">
      <alignment horizontal="center" vertical="center"/>
    </xf>
    <xf numFmtId="1" fontId="22" fillId="30" borderId="6" xfId="0" applyNumberFormat="1" applyFont="1" applyFill="1" applyBorder="1" applyAlignment="1">
      <alignment horizontal="center" vertical="center"/>
    </xf>
    <xf numFmtId="1" fontId="42" fillId="51" borderId="6" xfId="0" applyNumberFormat="1" applyFont="1" applyFill="1" applyBorder="1" applyAlignment="1">
      <alignment horizontal="center" vertical="center"/>
    </xf>
    <xf numFmtId="0" fontId="6" fillId="0" borderId="0" xfId="0" applyFont="1" applyBorder="1" applyAlignment="1">
      <alignment horizontal="center"/>
    </xf>
    <xf numFmtId="3" fontId="30" fillId="18" borderId="6" xfId="1" applyNumberFormat="1" applyFont="1" applyFill="1" applyBorder="1" applyAlignment="1">
      <alignment horizontal="center" vertical="center" wrapText="1"/>
    </xf>
    <xf numFmtId="167" fontId="0" fillId="18" borderId="6" xfId="0" applyNumberFormat="1" applyFont="1" applyFill="1" applyBorder="1" applyAlignment="1">
      <alignment horizontal="center" vertical="center"/>
    </xf>
    <xf numFmtId="167" fontId="8" fillId="18" borderId="6" xfId="0" applyNumberFormat="1" applyFont="1" applyFill="1" applyBorder="1" applyAlignment="1">
      <alignment horizontal="center" vertical="center"/>
    </xf>
    <xf numFmtId="0" fontId="30" fillId="31" borderId="26" xfId="1" applyNumberFormat="1" applyFont="1" applyFill="1" applyBorder="1" applyAlignment="1">
      <alignment horizontal="center" vertical="center" wrapText="1"/>
    </xf>
    <xf numFmtId="1" fontId="19" fillId="25" borderId="33" xfId="1" applyNumberFormat="1" applyFont="1" applyFill="1" applyBorder="1" applyAlignment="1">
      <alignment horizontal="center" vertical="center"/>
    </xf>
    <xf numFmtId="165" fontId="8" fillId="0" borderId="0" xfId="1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9" fontId="0" fillId="18" borderId="6" xfId="2" applyFont="1" applyFill="1" applyBorder="1" applyAlignment="1">
      <alignment horizontal="center" vertical="center"/>
    </xf>
    <xf numFmtId="9" fontId="8" fillId="18" borderId="6" xfId="2" applyFont="1" applyFill="1" applyBorder="1" applyAlignment="1">
      <alignment horizontal="center" vertical="center"/>
    </xf>
    <xf numFmtId="167" fontId="6" fillId="18" borderId="6" xfId="0" applyNumberFormat="1" applyFont="1" applyFill="1" applyBorder="1" applyAlignment="1">
      <alignment horizontal="center" vertical="center"/>
    </xf>
    <xf numFmtId="167" fontId="5" fillId="18" borderId="6" xfId="0" applyNumberFormat="1" applyFont="1" applyFill="1" applyBorder="1" applyAlignment="1">
      <alignment horizontal="center" vertical="center"/>
    </xf>
    <xf numFmtId="167" fontId="6" fillId="0" borderId="0" xfId="0" applyNumberFormat="1" applyFont="1" applyBorder="1" applyAlignment="1">
      <alignment horizontal="center"/>
    </xf>
    <xf numFmtId="165" fontId="6" fillId="0" borderId="2" xfId="1" applyFont="1" applyBorder="1" applyAlignment="1">
      <alignment horizontal="center" vertical="center"/>
    </xf>
    <xf numFmtId="167" fontId="6" fillId="0" borderId="0" xfId="0" applyNumberFormat="1" applyFont="1" applyAlignment="1">
      <alignment horizontal="center" vertical="center"/>
    </xf>
    <xf numFmtId="9" fontId="0" fillId="0" borderId="2" xfId="2" applyFont="1" applyBorder="1" applyAlignment="1">
      <alignment horizontal="center" vertical="center"/>
    </xf>
    <xf numFmtId="3" fontId="0" fillId="18" borderId="6" xfId="2" applyNumberFormat="1" applyFont="1" applyFill="1" applyBorder="1" applyAlignment="1">
      <alignment horizontal="center" vertical="center"/>
    </xf>
    <xf numFmtId="192" fontId="30" fillId="18" borderId="6" xfId="1" applyNumberFormat="1" applyFont="1" applyFill="1" applyBorder="1" applyAlignment="1">
      <alignment horizontal="center" vertical="center" wrapText="1"/>
    </xf>
    <xf numFmtId="166" fontId="9" fillId="29" borderId="26" xfId="1" applyNumberFormat="1" applyFont="1" applyFill="1" applyBorder="1" applyAlignment="1">
      <alignment horizontal="center" vertical="center"/>
    </xf>
    <xf numFmtId="1" fontId="0" fillId="29" borderId="34" xfId="0" applyNumberFormat="1" applyFont="1" applyFill="1" applyBorder="1" applyAlignment="1">
      <alignment horizontal="center" vertical="center"/>
    </xf>
    <xf numFmtId="1" fontId="8" fillId="29" borderId="34" xfId="1" applyNumberFormat="1" applyFont="1" applyFill="1" applyBorder="1" applyAlignment="1">
      <alignment horizontal="center" vertical="center"/>
    </xf>
    <xf numFmtId="177" fontId="8" fillId="29" borderId="34" xfId="1" applyNumberFormat="1" applyFont="1" applyFill="1" applyBorder="1" applyAlignment="1">
      <alignment horizontal="center" vertical="center"/>
    </xf>
    <xf numFmtId="1" fontId="19" fillId="25" borderId="34" xfId="1" applyNumberFormat="1" applyFont="1" applyFill="1" applyBorder="1" applyAlignment="1">
      <alignment horizontal="center" vertical="center"/>
    </xf>
    <xf numFmtId="167" fontId="9" fillId="11" borderId="6" xfId="0" applyNumberFormat="1" applyFont="1" applyFill="1" applyBorder="1" applyAlignment="1">
      <alignment horizontal="center" vertical="center"/>
    </xf>
    <xf numFmtId="167" fontId="9" fillId="12" borderId="6" xfId="0" applyNumberFormat="1" applyFont="1" applyFill="1" applyBorder="1" applyAlignment="1">
      <alignment horizontal="center" vertical="center"/>
    </xf>
    <xf numFmtId="0" fontId="9" fillId="8" borderId="11" xfId="1" applyNumberFormat="1" applyFont="1" applyFill="1" applyBorder="1" applyAlignment="1">
      <alignment horizontal="center" vertical="center"/>
    </xf>
    <xf numFmtId="166" fontId="1" fillId="29" borderId="32" xfId="1" applyNumberFormat="1" applyFont="1" applyFill="1" applyBorder="1" applyAlignment="1">
      <alignment horizontal="center" vertical="center"/>
    </xf>
    <xf numFmtId="166" fontId="1" fillId="29" borderId="12" xfId="1" applyNumberFormat="1" applyFont="1" applyFill="1" applyBorder="1" applyAlignment="1">
      <alignment horizontal="center" vertical="center"/>
    </xf>
    <xf numFmtId="0" fontId="1" fillId="29" borderId="11" xfId="1" applyNumberFormat="1" applyFont="1" applyFill="1" applyBorder="1" applyAlignment="1">
      <alignment horizontal="center" vertical="center" wrapText="1"/>
    </xf>
    <xf numFmtId="191" fontId="1" fillId="29" borderId="28" xfId="1" applyNumberFormat="1" applyFont="1" applyFill="1" applyBorder="1" applyAlignment="1">
      <alignment horizontal="center" vertical="center"/>
    </xf>
    <xf numFmtId="3" fontId="1" fillId="29" borderId="11" xfId="0" applyNumberFormat="1" applyFont="1" applyFill="1" applyBorder="1" applyAlignment="1">
      <alignment horizontal="center" vertical="center"/>
    </xf>
    <xf numFmtId="3" fontId="1" fillId="29" borderId="6" xfId="0" applyNumberFormat="1" applyFont="1" applyFill="1" applyBorder="1" applyAlignment="1">
      <alignment horizontal="center" vertical="center"/>
    </xf>
    <xf numFmtId="166" fontId="1" fillId="29" borderId="6" xfId="0" applyNumberFormat="1" applyFont="1" applyFill="1" applyBorder="1" applyAlignment="1">
      <alignment horizontal="center" vertical="center"/>
    </xf>
    <xf numFmtId="3" fontId="1" fillId="29" borderId="6" xfId="1" applyNumberFormat="1" applyFont="1" applyFill="1" applyBorder="1" applyAlignment="1">
      <alignment horizontal="center" vertical="center"/>
    </xf>
    <xf numFmtId="166" fontId="5" fillId="35" borderId="6" xfId="7" applyNumberFormat="1" applyFont="1" applyFill="1" applyBorder="1" applyAlignment="1">
      <alignment horizontal="center" vertical="center" wrapText="1"/>
    </xf>
    <xf numFmtId="14" fontId="8" fillId="35" borderId="6" xfId="7" applyNumberFormat="1" applyFont="1" applyFill="1" applyBorder="1" applyAlignment="1">
      <alignment horizontal="center" vertical="center" wrapText="1"/>
    </xf>
    <xf numFmtId="0" fontId="30" fillId="35" borderId="6" xfId="7" applyNumberFormat="1" applyFont="1" applyFill="1" applyBorder="1" applyAlignment="1">
      <alignment horizontal="center" vertical="center" wrapText="1"/>
    </xf>
    <xf numFmtId="0" fontId="8" fillId="35" borderId="6" xfId="7" applyNumberFormat="1" applyFont="1" applyFill="1" applyBorder="1" applyAlignment="1">
      <alignment horizontal="center" vertical="center" wrapText="1"/>
    </xf>
    <xf numFmtId="0" fontId="8" fillId="35" borderId="6" xfId="7" applyNumberFormat="1" applyFont="1" applyFill="1" applyBorder="1" applyAlignment="1">
      <alignment horizontal="center" vertical="center"/>
    </xf>
    <xf numFmtId="0" fontId="9" fillId="35" borderId="6" xfId="7" applyNumberFormat="1" applyFont="1" applyFill="1" applyBorder="1" applyAlignment="1">
      <alignment horizontal="center" vertical="center"/>
    </xf>
    <xf numFmtId="0" fontId="8" fillId="15" borderId="6" xfId="7" applyNumberFormat="1" applyFont="1" applyFill="1" applyBorder="1" applyAlignment="1">
      <alignment horizontal="center" vertical="center"/>
    </xf>
    <xf numFmtId="0" fontId="8" fillId="8" borderId="0" xfId="7" applyNumberFormat="1" applyFont="1" applyFill="1" applyBorder="1" applyAlignment="1">
      <alignment horizontal="center"/>
    </xf>
    <xf numFmtId="0" fontId="8" fillId="0" borderId="0" xfId="0" applyNumberFormat="1" applyFont="1" applyBorder="1" applyAlignment="1">
      <alignment horizontal="center"/>
    </xf>
    <xf numFmtId="0" fontId="8" fillId="0" borderId="0" xfId="0" applyNumberFormat="1" applyFont="1" applyAlignment="1">
      <alignment horizontal="center"/>
    </xf>
    <xf numFmtId="0" fontId="8" fillId="0" borderId="0" xfId="1" applyNumberFormat="1" applyFont="1" applyAlignment="1">
      <alignment horizontal="center"/>
    </xf>
    <xf numFmtId="0" fontId="8" fillId="0" borderId="0" xfId="0" applyNumberFormat="1" applyFont="1" applyAlignment="1">
      <alignment horizontal="center" vertical="center"/>
    </xf>
    <xf numFmtId="0" fontId="8" fillId="0" borderId="0" xfId="0" applyNumberFormat="1" applyFont="1" applyAlignment="1">
      <alignment horizontal="center" vertical="center" wrapText="1"/>
    </xf>
    <xf numFmtId="9" fontId="0" fillId="18" borderId="6" xfId="2" applyFont="1" applyFill="1" applyBorder="1" applyAlignment="1">
      <alignment horizontal="center" vertical="center" wrapText="1"/>
    </xf>
    <xf numFmtId="9" fontId="0" fillId="18" borderId="6" xfId="2" quotePrefix="1" applyFont="1" applyFill="1" applyBorder="1" applyAlignment="1">
      <alignment horizontal="center" vertical="center"/>
    </xf>
    <xf numFmtId="9" fontId="6" fillId="0" borderId="2" xfId="2" applyFont="1" applyBorder="1" applyAlignment="1">
      <alignment horizontal="center" vertical="center"/>
    </xf>
    <xf numFmtId="0" fontId="5" fillId="0" borderId="6" xfId="0" applyFont="1" applyFill="1" applyBorder="1" applyAlignment="1">
      <alignment horizontal="center" vertical="center"/>
    </xf>
    <xf numFmtId="168" fontId="30" fillId="11" borderId="6" xfId="1" applyNumberFormat="1" applyFont="1" applyFill="1" applyBorder="1" applyAlignment="1">
      <alignment horizontal="center" vertical="center" wrapText="1"/>
    </xf>
    <xf numFmtId="3" fontId="8" fillId="11" borderId="6" xfId="3" applyNumberFormat="1" applyFont="1" applyFill="1" applyBorder="1" applyAlignment="1">
      <alignment horizontal="center" vertical="center"/>
    </xf>
    <xf numFmtId="0" fontId="30" fillId="35" borderId="6" xfId="7" applyFont="1" applyFill="1" applyBorder="1" applyAlignment="1">
      <alignment horizontal="center" vertical="center" wrapText="1"/>
    </xf>
    <xf numFmtId="1" fontId="5" fillId="35" borderId="6" xfId="7" applyNumberFormat="1" applyFont="1" applyFill="1" applyBorder="1" applyAlignment="1">
      <alignment horizontal="center" vertical="center" wrapText="1"/>
    </xf>
    <xf numFmtId="2" fontId="5" fillId="35" borderId="6" xfId="7" applyNumberFormat="1" applyFont="1" applyFill="1" applyBorder="1" applyAlignment="1">
      <alignment horizontal="center" vertical="center" wrapText="1"/>
    </xf>
    <xf numFmtId="166" fontId="8" fillId="30" borderId="26" xfId="1" applyNumberFormat="1" applyFont="1" applyFill="1" applyBorder="1" applyAlignment="1">
      <alignment horizontal="center" vertical="center" wrapText="1"/>
    </xf>
    <xf numFmtId="0" fontId="0" fillId="21" borderId="6" xfId="0" applyFont="1" applyFill="1" applyBorder="1" applyAlignment="1">
      <alignment horizontal="left" vertical="center"/>
    </xf>
    <xf numFmtId="0" fontId="38" fillId="21" borderId="6" xfId="0" applyFont="1" applyFill="1" applyBorder="1" applyAlignment="1">
      <alignment horizontal="left" vertical="center" wrapText="1"/>
    </xf>
    <xf numFmtId="1" fontId="8" fillId="20" borderId="6" xfId="5" applyNumberFormat="1" applyFont="1" applyFill="1" applyBorder="1" applyAlignment="1">
      <alignment horizontal="center" vertical="center"/>
    </xf>
    <xf numFmtId="166" fontId="8" fillId="34" borderId="6" xfId="5" applyNumberFormat="1" applyFont="1" applyFill="1" applyBorder="1" applyAlignment="1">
      <alignment horizontal="center" vertical="center"/>
    </xf>
    <xf numFmtId="166" fontId="8" fillId="20" borderId="6" xfId="5" applyNumberFormat="1" applyFont="1" applyFill="1" applyBorder="1" applyAlignment="1">
      <alignment horizontal="center" vertical="center"/>
    </xf>
    <xf numFmtId="166" fontId="8" fillId="20" borderId="6" xfId="5" applyNumberFormat="1" applyFont="1" applyFill="1" applyBorder="1" applyAlignment="1">
      <alignment horizontal="center" vertical="center" wrapText="1"/>
    </xf>
    <xf numFmtId="0" fontId="9" fillId="8" borderId="6" xfId="0" applyFont="1" applyFill="1" applyBorder="1" applyAlignment="1">
      <alignment horizontal="center" vertical="center" wrapText="1"/>
    </xf>
    <xf numFmtId="0" fontId="9" fillId="29" borderId="6" xfId="0" applyFont="1" applyFill="1" applyBorder="1" applyAlignment="1">
      <alignment horizontal="center" vertical="center"/>
    </xf>
    <xf numFmtId="0" fontId="8" fillId="29" borderId="11" xfId="0" applyNumberFormat="1" applyFont="1" applyFill="1" applyBorder="1" applyAlignment="1">
      <alignment horizontal="center" vertical="center" wrapText="1"/>
    </xf>
    <xf numFmtId="9" fontId="19" fillId="29" borderId="6" xfId="2" applyFont="1" applyFill="1" applyBorder="1" applyAlignment="1">
      <alignment horizontal="center" vertical="center"/>
    </xf>
    <xf numFmtId="1" fontId="19" fillId="8" borderId="11" xfId="1" applyNumberFormat="1" applyFont="1" applyFill="1" applyBorder="1" applyAlignment="1">
      <alignment horizontal="center" vertical="center"/>
    </xf>
    <xf numFmtId="166" fontId="0" fillId="0" borderId="0" xfId="0" applyNumberFormat="1" applyFont="1" applyBorder="1" applyAlignment="1">
      <alignment horizontal="center"/>
    </xf>
    <xf numFmtId="3" fontId="0" fillId="0" borderId="0" xfId="0" applyNumberFormat="1" applyFont="1" applyBorder="1" applyAlignment="1">
      <alignment horizontal="center"/>
    </xf>
    <xf numFmtId="9" fontId="0" fillId="0" borderId="0" xfId="2" applyFont="1" applyAlignment="1">
      <alignment horizontal="left"/>
    </xf>
    <xf numFmtId="165" fontId="6" fillId="0" borderId="0" xfId="0" applyNumberFormat="1" applyFont="1" applyAlignment="1">
      <alignment horizontal="center" vertical="center"/>
    </xf>
    <xf numFmtId="165" fontId="30" fillId="24" borderId="6" xfId="1" applyFont="1" applyFill="1" applyBorder="1" applyAlignment="1">
      <alignment horizontal="center" vertical="center" wrapText="1"/>
    </xf>
    <xf numFmtId="165" fontId="8" fillId="24" borderId="6" xfId="1" applyFont="1" applyFill="1" applyBorder="1" applyAlignment="1">
      <alignment horizontal="center" vertical="center" wrapText="1"/>
    </xf>
    <xf numFmtId="3" fontId="5" fillId="8" borderId="6" xfId="1" applyNumberFormat="1" applyFont="1" applyFill="1" applyBorder="1" applyAlignment="1">
      <alignment horizontal="center" vertical="center" wrapText="1"/>
    </xf>
    <xf numFmtId="167" fontId="0" fillId="8" borderId="0" xfId="0" applyNumberFormat="1" applyFont="1" applyFill="1" applyBorder="1" applyAlignment="1">
      <alignment horizontal="center"/>
    </xf>
    <xf numFmtId="0" fontId="5" fillId="8" borderId="0" xfId="0" applyFont="1" applyFill="1" applyAlignment="1">
      <alignment horizontal="center" vertical="center"/>
    </xf>
    <xf numFmtId="165" fontId="0" fillId="8" borderId="0" xfId="1" applyFont="1" applyFill="1" applyAlignment="1">
      <alignment horizontal="center" vertical="center"/>
    </xf>
    <xf numFmtId="165" fontId="30" fillId="31" borderId="1" xfId="1" applyFont="1" applyFill="1" applyBorder="1" applyAlignment="1">
      <alignment horizontal="center" vertical="center" wrapText="1"/>
    </xf>
    <xf numFmtId="165" fontId="30" fillId="31" borderId="6" xfId="1" applyFont="1" applyFill="1" applyBorder="1" applyAlignment="1">
      <alignment horizontal="center" vertical="center" wrapText="1"/>
    </xf>
    <xf numFmtId="167" fontId="0" fillId="52" borderId="1" xfId="0" applyNumberFormat="1" applyFont="1" applyFill="1" applyBorder="1" applyAlignment="1">
      <alignment horizontal="center" vertical="center"/>
    </xf>
    <xf numFmtId="9" fontId="0" fillId="52" borderId="6" xfId="2" applyFont="1" applyFill="1" applyBorder="1" applyAlignment="1">
      <alignment horizontal="center" vertical="center"/>
    </xf>
    <xf numFmtId="167" fontId="0" fillId="52" borderId="6" xfId="0" applyNumberFormat="1" applyFont="1" applyFill="1" applyBorder="1" applyAlignment="1">
      <alignment horizontal="center" vertical="center"/>
    </xf>
    <xf numFmtId="167" fontId="6" fillId="52" borderId="1" xfId="0" applyNumberFormat="1" applyFont="1" applyFill="1" applyBorder="1" applyAlignment="1">
      <alignment horizontal="center" vertical="center"/>
    </xf>
    <xf numFmtId="167" fontId="8" fillId="52" borderId="1" xfId="0" applyNumberFormat="1" applyFont="1" applyFill="1" applyBorder="1" applyAlignment="1">
      <alignment horizontal="center" vertical="center"/>
    </xf>
    <xf numFmtId="167" fontId="8" fillId="52" borderId="6" xfId="0" applyNumberFormat="1" applyFont="1" applyFill="1" applyBorder="1" applyAlignment="1">
      <alignment horizontal="center" vertical="center"/>
    </xf>
    <xf numFmtId="3" fontId="0" fillId="24" borderId="6" xfId="0" applyNumberFormat="1" applyFont="1" applyFill="1" applyBorder="1" applyAlignment="1">
      <alignment horizontal="center" vertical="center"/>
    </xf>
    <xf numFmtId="14" fontId="9" fillId="35" borderId="1" xfId="7" applyNumberFormat="1" applyFont="1" applyFill="1" applyBorder="1" applyAlignment="1">
      <alignment horizontal="center" vertical="center"/>
    </xf>
    <xf numFmtId="1" fontId="34" fillId="47" borderId="9" xfId="0" applyNumberFormat="1" applyFont="1" applyFill="1" applyBorder="1" applyAlignment="1">
      <alignment horizontal="center" vertical="center"/>
    </xf>
    <xf numFmtId="166" fontId="9" fillId="0" borderId="9" xfId="0" applyNumberFormat="1" applyFont="1" applyBorder="1" applyAlignment="1">
      <alignment horizontal="center" vertical="center"/>
    </xf>
    <xf numFmtId="3" fontId="0" fillId="46" borderId="0" xfId="0" applyNumberFormat="1" applyFont="1" applyFill="1" applyBorder="1" applyAlignment="1">
      <alignment horizontal="center" vertical="center"/>
    </xf>
    <xf numFmtId="166" fontId="5" fillId="9" borderId="6" xfId="6" applyNumberFormat="1" applyFont="1" applyFill="1" applyBorder="1" applyAlignment="1">
      <alignment horizontal="center" vertical="center"/>
    </xf>
    <xf numFmtId="0" fontId="5" fillId="9" borderId="6" xfId="8" applyFont="1" applyFill="1" applyBorder="1" applyAlignment="1">
      <alignment horizontal="center" vertical="center"/>
    </xf>
    <xf numFmtId="166" fontId="5" fillId="9" borderId="6" xfId="8" applyNumberFormat="1" applyFont="1" applyFill="1" applyBorder="1" applyAlignment="1">
      <alignment horizontal="center" vertical="center"/>
    </xf>
    <xf numFmtId="3" fontId="6" fillId="9" borderId="6" xfId="0" applyNumberFormat="1" applyFont="1" applyFill="1" applyBorder="1" applyAlignment="1">
      <alignment horizontal="center" vertical="center" wrapText="1"/>
    </xf>
    <xf numFmtId="0" fontId="6" fillId="9" borderId="6" xfId="0" applyFont="1" applyFill="1" applyBorder="1" applyAlignment="1">
      <alignment horizontal="center" vertical="center"/>
    </xf>
    <xf numFmtId="2" fontId="5" fillId="9" borderId="6" xfId="2" applyNumberFormat="1" applyFont="1" applyFill="1" applyBorder="1" applyAlignment="1">
      <alignment horizontal="center" vertical="center"/>
    </xf>
    <xf numFmtId="9" fontId="6" fillId="9" borderId="6" xfId="2" applyFont="1" applyFill="1" applyBorder="1" applyAlignment="1">
      <alignment horizontal="center" vertical="center"/>
    </xf>
    <xf numFmtId="3" fontId="5" fillId="8" borderId="6" xfId="0" applyNumberFormat="1" applyFont="1" applyFill="1" applyBorder="1" applyAlignment="1">
      <alignment horizontal="center" vertical="center" wrapText="1"/>
    </xf>
    <xf numFmtId="167" fontId="6" fillId="11" borderId="6" xfId="0" applyNumberFormat="1" applyFont="1" applyFill="1" applyBorder="1" applyAlignment="1">
      <alignment horizontal="center" vertical="center"/>
    </xf>
    <xf numFmtId="165" fontId="5" fillId="24" borderId="6" xfId="1" applyFont="1" applyFill="1" applyBorder="1" applyAlignment="1">
      <alignment horizontal="center" vertical="center" wrapText="1"/>
    </xf>
    <xf numFmtId="165" fontId="5" fillId="8" borderId="6" xfId="1" applyFont="1" applyFill="1" applyBorder="1" applyAlignment="1">
      <alignment horizontal="center" vertical="center" wrapText="1"/>
    </xf>
    <xf numFmtId="166" fontId="8" fillId="30" borderId="26" xfId="0" applyNumberFormat="1" applyFont="1" applyFill="1" applyBorder="1" applyAlignment="1">
      <alignment horizontal="center" vertical="center"/>
    </xf>
    <xf numFmtId="1" fontId="22" fillId="53" borderId="6" xfId="0" applyNumberFormat="1" applyFont="1" applyFill="1" applyBorder="1" applyAlignment="1">
      <alignment horizontal="center" vertical="center"/>
    </xf>
    <xf numFmtId="0" fontId="0" fillId="0" borderId="6" xfId="0" applyFont="1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/>
    </xf>
    <xf numFmtId="0" fontId="8" fillId="0" borderId="6" xfId="0" applyFont="1" applyFill="1" applyBorder="1" applyAlignment="1">
      <alignment horizontal="center" vertical="center"/>
    </xf>
    <xf numFmtId="164" fontId="0" fillId="0" borderId="6" xfId="0" applyNumberFormat="1" applyFont="1" applyBorder="1" applyAlignment="1">
      <alignment horizontal="center" vertical="center"/>
    </xf>
    <xf numFmtId="9" fontId="0" fillId="0" borderId="6" xfId="2" applyFont="1" applyBorder="1" applyAlignment="1">
      <alignment horizontal="center" vertical="center"/>
    </xf>
    <xf numFmtId="0" fontId="8" fillId="0" borderId="6" xfId="0" applyFont="1" applyBorder="1" applyAlignment="1">
      <alignment horizontal="center" vertical="center"/>
    </xf>
    <xf numFmtId="0" fontId="8" fillId="0" borderId="6" xfId="0" applyNumberFormat="1" applyFont="1" applyBorder="1" applyAlignment="1">
      <alignment horizontal="center" vertical="center"/>
    </xf>
    <xf numFmtId="0" fontId="6" fillId="0" borderId="6" xfId="0" applyFont="1" applyBorder="1" applyAlignment="1">
      <alignment horizontal="center" vertical="center"/>
    </xf>
    <xf numFmtId="0" fontId="0" fillId="0" borderId="11" xfId="0" applyFont="1" applyBorder="1" applyAlignment="1">
      <alignment horizontal="center" vertical="center"/>
    </xf>
    <xf numFmtId="1" fontId="0" fillId="0" borderId="6" xfId="0" applyNumberFormat="1" applyFont="1" applyBorder="1" applyAlignment="1">
      <alignment horizontal="center" vertical="center"/>
    </xf>
    <xf numFmtId="166" fontId="0" fillId="0" borderId="9" xfId="0" applyNumberFormat="1" applyFont="1" applyBorder="1" applyAlignment="1">
      <alignment horizontal="center" vertical="center"/>
    </xf>
    <xf numFmtId="166" fontId="5" fillId="8" borderId="6" xfId="0" applyNumberFormat="1" applyFont="1" applyFill="1" applyBorder="1" applyAlignment="1">
      <alignment horizontal="center" vertical="center" wrapText="1"/>
    </xf>
    <xf numFmtId="0" fontId="0" fillId="0" borderId="12" xfId="0" applyFont="1" applyBorder="1" applyAlignment="1">
      <alignment horizontal="center" vertical="center"/>
    </xf>
    <xf numFmtId="0" fontId="0" fillId="0" borderId="28" xfId="0" applyFont="1" applyBorder="1" applyAlignment="1">
      <alignment horizontal="center" vertical="center"/>
    </xf>
    <xf numFmtId="0" fontId="8" fillId="0" borderId="33" xfId="0" applyFont="1" applyBorder="1" applyAlignment="1">
      <alignment horizontal="center" vertical="center"/>
    </xf>
    <xf numFmtId="0" fontId="0" fillId="0" borderId="33" xfId="0" applyFont="1" applyBorder="1" applyAlignment="1">
      <alignment horizontal="center" vertical="center"/>
    </xf>
    <xf numFmtId="0" fontId="0" fillId="0" borderId="26" xfId="0" applyFont="1" applyBorder="1" applyAlignment="1">
      <alignment horizontal="center" vertical="center"/>
    </xf>
    <xf numFmtId="0" fontId="0" fillId="0" borderId="32" xfId="0" applyFont="1" applyBorder="1" applyAlignment="1">
      <alignment horizontal="center" vertical="center"/>
    </xf>
    <xf numFmtId="168" fontId="8" fillId="0" borderId="6" xfId="1" applyNumberFormat="1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0" fillId="0" borderId="11" xfId="0" applyNumberFormat="1" applyFont="1" applyBorder="1" applyAlignment="1">
      <alignment horizontal="center" vertical="center"/>
    </xf>
    <xf numFmtId="0" fontId="5" fillId="8" borderId="6" xfId="0" applyFont="1" applyFill="1" applyBorder="1" applyAlignment="1">
      <alignment horizontal="left" vertical="center" wrapText="1"/>
    </xf>
    <xf numFmtId="168" fontId="0" fillId="0" borderId="1" xfId="1" applyNumberFormat="1" applyFont="1" applyBorder="1" applyAlignment="1">
      <alignment horizontal="center" vertical="center"/>
    </xf>
    <xf numFmtId="166" fontId="9" fillId="12" borderId="12" xfId="0" applyNumberFormat="1" applyFont="1" applyFill="1" applyBorder="1" applyAlignment="1">
      <alignment horizontal="center" vertical="center"/>
    </xf>
    <xf numFmtId="166" fontId="9" fillId="8" borderId="11" xfId="0" applyNumberFormat="1" applyFont="1" applyFill="1" applyBorder="1" applyAlignment="1">
      <alignment horizontal="center" vertical="center"/>
    </xf>
    <xf numFmtId="166" fontId="9" fillId="8" borderId="32" xfId="1" applyNumberFormat="1" applyFont="1" applyFill="1" applyBorder="1" applyAlignment="1">
      <alignment horizontal="center" vertical="center"/>
    </xf>
    <xf numFmtId="0" fontId="1" fillId="29" borderId="11" xfId="0" applyNumberFormat="1" applyFont="1" applyFill="1" applyBorder="1" applyAlignment="1">
      <alignment horizontal="center" vertical="center"/>
    </xf>
    <xf numFmtId="0" fontId="9" fillId="0" borderId="28" xfId="0" applyNumberFormat="1" applyFont="1" applyBorder="1" applyAlignment="1">
      <alignment horizontal="center" vertical="center"/>
    </xf>
    <xf numFmtId="191" fontId="8" fillId="25" borderId="11" xfId="1" applyNumberFormat="1" applyFont="1" applyFill="1" applyBorder="1" applyAlignment="1">
      <alignment horizontal="center" vertical="center"/>
    </xf>
    <xf numFmtId="0" fontId="8" fillId="31" borderId="6" xfId="0" applyFont="1" applyFill="1" applyBorder="1" applyAlignment="1">
      <alignment horizontal="center" vertical="center"/>
    </xf>
    <xf numFmtId="0" fontId="8" fillId="30" borderId="6" xfId="0" applyFont="1" applyFill="1" applyBorder="1" applyAlignment="1">
      <alignment horizontal="center" vertical="center"/>
    </xf>
    <xf numFmtId="1" fontId="8" fillId="25" borderId="34" xfId="1" applyNumberFormat="1" applyFont="1" applyFill="1" applyBorder="1" applyAlignment="1">
      <alignment horizontal="center" vertical="center"/>
    </xf>
    <xf numFmtId="166" fontId="9" fillId="12" borderId="35" xfId="1" applyNumberFormat="1" applyFont="1" applyFill="1" applyBorder="1" applyAlignment="1">
      <alignment horizontal="center" vertical="center"/>
    </xf>
    <xf numFmtId="3" fontId="8" fillId="29" borderId="6" xfId="0" applyNumberFormat="1" applyFont="1" applyFill="1" applyBorder="1" applyAlignment="1">
      <alignment horizontal="center" vertical="center" wrapText="1"/>
    </xf>
    <xf numFmtId="168" fontId="8" fillId="29" borderId="6" xfId="1" applyNumberFormat="1" applyFont="1" applyFill="1" applyBorder="1" applyAlignment="1">
      <alignment horizontal="center" vertical="center"/>
    </xf>
    <xf numFmtId="168" fontId="8" fillId="29" borderId="6" xfId="1" applyNumberFormat="1" applyFont="1" applyFill="1" applyBorder="1" applyAlignment="1">
      <alignment horizontal="center" vertical="center" wrapText="1"/>
    </xf>
    <xf numFmtId="9" fontId="0" fillId="0" borderId="0" xfId="2" applyFont="1" applyBorder="1" applyAlignment="1">
      <alignment horizontal="center" vertical="center"/>
    </xf>
    <xf numFmtId="9" fontId="1" fillId="8" borderId="6" xfId="2" applyFont="1" applyFill="1" applyBorder="1" applyAlignment="1">
      <alignment horizontal="center" vertical="center"/>
    </xf>
    <xf numFmtId="1" fontId="8" fillId="35" borderId="6" xfId="7" applyNumberFormat="1" applyFont="1" applyFill="1" applyBorder="1" applyAlignment="1">
      <alignment horizontal="center" vertical="center" wrapText="1"/>
    </xf>
    <xf numFmtId="10" fontId="1" fillId="46" borderId="6" xfId="2" applyNumberFormat="1" applyFont="1" applyFill="1" applyBorder="1" applyAlignment="1">
      <alignment horizontal="center" vertical="center"/>
    </xf>
    <xf numFmtId="9" fontId="1" fillId="52" borderId="6" xfId="2" applyFont="1" applyFill="1" applyBorder="1" applyAlignment="1">
      <alignment horizontal="center" vertical="center"/>
    </xf>
    <xf numFmtId="9" fontId="1" fillId="18" borderId="6" xfId="2" applyFont="1" applyFill="1" applyBorder="1" applyAlignment="1">
      <alignment horizontal="center" vertical="center"/>
    </xf>
    <xf numFmtId="0" fontId="8" fillId="8" borderId="0" xfId="0" applyFont="1" applyFill="1" applyAlignment="1">
      <alignment horizontal="center" vertical="center" wrapText="1"/>
    </xf>
    <xf numFmtId="0" fontId="6" fillId="0" borderId="1" xfId="0" applyFont="1" applyFill="1" applyBorder="1" applyAlignment="1">
      <alignment horizontal="center" vertical="center"/>
    </xf>
    <xf numFmtId="0" fontId="6" fillId="0" borderId="1" xfId="0" applyFont="1" applyFill="1" applyBorder="1" applyAlignment="1">
      <alignment horizontal="center" vertical="center" wrapText="1"/>
    </xf>
    <xf numFmtId="0" fontId="8" fillId="28" borderId="1" xfId="8" applyFont="1" applyFill="1" applyBorder="1" applyAlignment="1">
      <alignment horizontal="center" vertical="center"/>
    </xf>
    <xf numFmtId="166" fontId="0" fillId="29" borderId="10" xfId="0" applyNumberFormat="1" applyFont="1" applyFill="1" applyBorder="1" applyAlignment="1">
      <alignment horizontal="center" vertical="center"/>
    </xf>
    <xf numFmtId="0" fontId="5" fillId="0" borderId="6" xfId="0" applyFont="1" applyFill="1" applyBorder="1" applyAlignment="1">
      <alignment horizontal="center" vertical="center" wrapText="1"/>
    </xf>
    <xf numFmtId="1" fontId="8" fillId="29" borderId="33" xfId="1" applyNumberFormat="1" applyFont="1" applyFill="1" applyBorder="1" applyAlignment="1">
      <alignment horizontal="center" vertical="center"/>
    </xf>
    <xf numFmtId="166" fontId="8" fillId="29" borderId="33" xfId="1" applyNumberFormat="1" applyFont="1" applyFill="1" applyBorder="1" applyAlignment="1">
      <alignment horizontal="center" vertical="center"/>
    </xf>
    <xf numFmtId="166" fontId="8" fillId="29" borderId="11" xfId="1" applyNumberFormat="1" applyFont="1" applyFill="1" applyBorder="1" applyAlignment="1">
      <alignment horizontal="center" vertical="center"/>
    </xf>
    <xf numFmtId="0" fontId="0" fillId="38" borderId="6" xfId="0" applyFont="1" applyFill="1" applyBorder="1" applyAlignment="1">
      <alignment horizontal="center" vertical="center"/>
    </xf>
    <xf numFmtId="3" fontId="27" fillId="21" borderId="6" xfId="10" applyNumberFormat="1" applyFont="1" applyFill="1" applyBorder="1" applyAlignment="1">
      <alignment horizontal="center" vertical="center" wrapText="1"/>
    </xf>
    <xf numFmtId="3" fontId="27" fillId="21" borderId="6" xfId="10" applyNumberFormat="1" applyFont="1" applyFill="1" applyBorder="1" applyAlignment="1">
      <alignment horizontal="left" vertical="top" wrapText="1"/>
    </xf>
    <xf numFmtId="3" fontId="25" fillId="21" borderId="6" xfId="10" applyNumberFormat="1" applyFont="1" applyFill="1" applyBorder="1" applyAlignment="1">
      <alignment horizontal="right" vertical="center" wrapText="1"/>
    </xf>
    <xf numFmtId="165" fontId="0" fillId="14" borderId="6" xfId="1" applyFont="1" applyFill="1" applyBorder="1" applyAlignment="1">
      <alignment horizontal="center" vertical="center"/>
    </xf>
    <xf numFmtId="166" fontId="8" fillId="29" borderId="9" xfId="1" applyNumberFormat="1" applyFont="1" applyFill="1" applyBorder="1" applyAlignment="1">
      <alignment horizontal="center" vertical="center"/>
    </xf>
    <xf numFmtId="167" fontId="8" fillId="12" borderId="1" xfId="0" applyNumberFormat="1" applyFont="1" applyFill="1" applyBorder="1" applyAlignment="1">
      <alignment horizontal="center" vertical="center"/>
    </xf>
    <xf numFmtId="4" fontId="8" fillId="8" borderId="1" xfId="0" applyNumberFormat="1" applyFont="1" applyFill="1" applyBorder="1" applyAlignment="1">
      <alignment horizontal="center" vertical="center"/>
    </xf>
    <xf numFmtId="0" fontId="38" fillId="29" borderId="6" xfId="0" applyFont="1" applyFill="1" applyBorder="1" applyAlignment="1">
      <alignment horizontal="center" vertical="center" wrapText="1"/>
    </xf>
    <xf numFmtId="168" fontId="0" fillId="0" borderId="0" xfId="0" applyNumberFormat="1" applyFont="1" applyAlignment="1">
      <alignment horizontal="center" vertical="center"/>
    </xf>
    <xf numFmtId="166" fontId="1" fillId="29" borderId="26" xfId="1" applyNumberFormat="1" applyFont="1" applyFill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 wrapText="1"/>
    </xf>
    <xf numFmtId="0" fontId="5" fillId="8" borderId="1" xfId="0" applyFont="1" applyFill="1" applyBorder="1" applyAlignment="1">
      <alignment horizontal="center" vertical="center"/>
    </xf>
    <xf numFmtId="0" fontId="8" fillId="29" borderId="1" xfId="0" applyFont="1" applyFill="1" applyBorder="1" applyAlignment="1">
      <alignment horizontal="center" vertical="center"/>
    </xf>
    <xf numFmtId="0" fontId="8" fillId="9" borderId="1" xfId="0" applyFont="1" applyFill="1" applyBorder="1" applyAlignment="1">
      <alignment horizontal="center" vertical="center"/>
    </xf>
    <xf numFmtId="9" fontId="8" fillId="9" borderId="1" xfId="2" applyFont="1" applyFill="1" applyBorder="1" applyAlignment="1">
      <alignment horizontal="center" vertical="center"/>
    </xf>
    <xf numFmtId="170" fontId="8" fillId="29" borderId="26" xfId="1" applyNumberFormat="1" applyFont="1" applyFill="1" applyBorder="1" applyAlignment="1">
      <alignment horizontal="center" vertical="center"/>
    </xf>
    <xf numFmtId="3" fontId="0" fillId="38" borderId="6" xfId="0" applyNumberFormat="1" applyFont="1" applyFill="1" applyBorder="1" applyAlignment="1">
      <alignment horizontal="center" vertical="center"/>
    </xf>
    <xf numFmtId="167" fontId="0" fillId="11" borderId="12" xfId="0" applyNumberFormat="1" applyFont="1" applyFill="1" applyBorder="1" applyAlignment="1">
      <alignment horizontal="center" vertical="center"/>
    </xf>
    <xf numFmtId="167" fontId="5" fillId="12" borderId="6" xfId="0" applyNumberFormat="1" applyFont="1" applyFill="1" applyBorder="1" applyAlignment="1">
      <alignment horizontal="center" vertical="center"/>
    </xf>
    <xf numFmtId="167" fontId="5" fillId="11" borderId="6" xfId="0" applyNumberFormat="1" applyFont="1" applyFill="1" applyBorder="1" applyAlignment="1">
      <alignment horizontal="center" vertical="center"/>
    </xf>
    <xf numFmtId="167" fontId="5" fillId="19" borderId="12" xfId="0" applyNumberFormat="1" applyFont="1" applyFill="1" applyBorder="1" applyAlignment="1">
      <alignment horizontal="center" vertical="center"/>
    </xf>
    <xf numFmtId="14" fontId="8" fillId="9" borderId="1" xfId="3" applyNumberFormat="1" applyFont="1" applyFill="1" applyBorder="1" applyAlignment="1">
      <alignment horizontal="center" vertical="center" wrapText="1"/>
    </xf>
    <xf numFmtId="9" fontId="0" fillId="14" borderId="1" xfId="2" applyFont="1" applyFill="1" applyBorder="1" applyAlignment="1">
      <alignment horizontal="center" vertical="center"/>
    </xf>
    <xf numFmtId="9" fontId="19" fillId="8" borderId="24" xfId="2" applyFont="1" applyFill="1" applyBorder="1" applyAlignment="1">
      <alignment horizontal="center" vertical="center"/>
    </xf>
    <xf numFmtId="166" fontId="9" fillId="29" borderId="35" xfId="1" applyNumberFormat="1" applyFont="1" applyFill="1" applyBorder="1" applyAlignment="1">
      <alignment horizontal="center" vertical="center"/>
    </xf>
    <xf numFmtId="167" fontId="8" fillId="14" borderId="12" xfId="0" applyNumberFormat="1" applyFont="1" applyFill="1" applyBorder="1" applyAlignment="1">
      <alignment horizontal="center" vertical="center"/>
    </xf>
    <xf numFmtId="0" fontId="6" fillId="8" borderId="0" xfId="0" applyFont="1" applyFill="1" applyBorder="1" applyAlignment="1">
      <alignment horizontal="center"/>
    </xf>
    <xf numFmtId="0" fontId="5" fillId="8" borderId="0" xfId="0" applyFont="1" applyFill="1" applyAlignment="1">
      <alignment horizontal="center"/>
    </xf>
    <xf numFmtId="165" fontId="6" fillId="8" borderId="0" xfId="1" applyFont="1" applyFill="1" applyAlignment="1">
      <alignment horizontal="center" vertical="center"/>
    </xf>
    <xf numFmtId="0" fontId="6" fillId="8" borderId="0" xfId="0" applyFont="1" applyFill="1" applyAlignment="1">
      <alignment horizontal="center" vertical="center"/>
    </xf>
    <xf numFmtId="0" fontId="6" fillId="8" borderId="0" xfId="0" applyFont="1" applyFill="1" applyAlignment="1">
      <alignment horizontal="center" vertical="center" wrapText="1"/>
    </xf>
    <xf numFmtId="0" fontId="5" fillId="8" borderId="0" xfId="0" applyFont="1" applyFill="1" applyAlignment="1">
      <alignment vertical="center"/>
    </xf>
    <xf numFmtId="14" fontId="0" fillId="38" borderId="6" xfId="0" applyNumberFormat="1" applyFont="1" applyFill="1" applyBorder="1" applyAlignment="1">
      <alignment horizontal="center" vertical="center"/>
    </xf>
    <xf numFmtId="0" fontId="5" fillId="9" borderId="6" xfId="3" applyFont="1" applyFill="1" applyBorder="1" applyAlignment="1">
      <alignment horizontal="center" vertical="center" wrapText="1"/>
    </xf>
    <xf numFmtId="166" fontId="0" fillId="29" borderId="11" xfId="1" applyNumberFormat="1" applyFont="1" applyFill="1" applyBorder="1" applyAlignment="1">
      <alignment horizontal="center" vertical="center"/>
    </xf>
    <xf numFmtId="167" fontId="6" fillId="52" borderId="6" xfId="0" applyNumberFormat="1" applyFont="1" applyFill="1" applyBorder="1" applyAlignment="1">
      <alignment horizontal="center" vertical="center"/>
    </xf>
    <xf numFmtId="166" fontId="9" fillId="12" borderId="10" xfId="0" applyNumberFormat="1" applyFont="1" applyFill="1" applyBorder="1" applyAlignment="1">
      <alignment horizontal="center" vertical="center"/>
    </xf>
    <xf numFmtId="14" fontId="8" fillId="29" borderId="12" xfId="1" applyNumberFormat="1" applyFont="1" applyFill="1" applyBorder="1" applyAlignment="1">
      <alignment horizontal="center" vertical="center"/>
    </xf>
    <xf numFmtId="14" fontId="8" fillId="30" borderId="33" xfId="0" applyNumberFormat="1" applyFont="1" applyFill="1" applyBorder="1" applyAlignment="1">
      <alignment horizontal="center" vertical="center"/>
    </xf>
    <xf numFmtId="166" fontId="9" fillId="12" borderId="9" xfId="1" applyNumberFormat="1" applyFont="1" applyFill="1" applyBorder="1" applyAlignment="1">
      <alignment horizontal="center" vertical="center"/>
    </xf>
    <xf numFmtId="4" fontId="0" fillId="0" borderId="6" xfId="0" applyNumberFormat="1" applyFont="1" applyBorder="1" applyAlignment="1">
      <alignment horizontal="center" vertical="center"/>
    </xf>
    <xf numFmtId="4" fontId="0" fillId="0" borderId="6" xfId="1" applyNumberFormat="1" applyFont="1" applyBorder="1" applyAlignment="1">
      <alignment horizontal="center" vertical="center"/>
    </xf>
    <xf numFmtId="4" fontId="0" fillId="8" borderId="6" xfId="1" applyNumberFormat="1" applyFont="1" applyFill="1" applyBorder="1" applyAlignment="1">
      <alignment horizontal="center" vertical="center"/>
    </xf>
    <xf numFmtId="4" fontId="0" fillId="0" borderId="6" xfId="0" applyNumberFormat="1" applyFont="1" applyBorder="1" applyAlignment="1">
      <alignment horizontal="center"/>
    </xf>
    <xf numFmtId="4" fontId="1" fillId="0" borderId="6" xfId="1" applyNumberFormat="1" applyFont="1" applyBorder="1" applyAlignment="1">
      <alignment horizontal="center" vertical="center"/>
    </xf>
    <xf numFmtId="166" fontId="8" fillId="30" borderId="9" xfId="1" applyNumberFormat="1" applyFont="1" applyFill="1" applyBorder="1" applyAlignment="1">
      <alignment horizontal="center" vertical="center"/>
    </xf>
    <xf numFmtId="14" fontId="8" fillId="9" borderId="6" xfId="3" applyNumberFormat="1" applyFont="1" applyFill="1" applyBorder="1" applyAlignment="1">
      <alignment horizontal="center" vertical="center" wrapText="1"/>
    </xf>
    <xf numFmtId="1" fontId="0" fillId="9" borderId="6" xfId="2" applyNumberFormat="1" applyFont="1" applyFill="1" applyBorder="1" applyAlignment="1">
      <alignment horizontal="center" vertical="center"/>
    </xf>
    <xf numFmtId="170" fontId="8" fillId="29" borderId="12" xfId="1" applyNumberFormat="1" applyFont="1" applyFill="1" applyBorder="1" applyAlignment="1">
      <alignment horizontal="center" vertical="center"/>
    </xf>
    <xf numFmtId="14" fontId="8" fillId="29" borderId="12" xfId="0" applyNumberFormat="1" applyFont="1" applyFill="1" applyBorder="1" applyAlignment="1">
      <alignment horizontal="center" vertical="center" wrapText="1"/>
    </xf>
    <xf numFmtId="166" fontId="8" fillId="29" borderId="33" xfId="0" applyNumberFormat="1" applyFont="1" applyFill="1" applyBorder="1" applyAlignment="1">
      <alignment horizontal="center" vertical="center" wrapText="1"/>
    </xf>
    <xf numFmtId="166" fontId="8" fillId="29" borderId="33" xfId="0" applyNumberFormat="1" applyFont="1" applyFill="1" applyBorder="1" applyAlignment="1">
      <alignment horizontal="center" vertical="center"/>
    </xf>
    <xf numFmtId="0" fontId="38" fillId="21" borderId="10" xfId="0" applyFont="1" applyFill="1" applyBorder="1" applyAlignment="1">
      <alignment horizontal="center" vertical="center" wrapText="1"/>
    </xf>
    <xf numFmtId="166" fontId="8" fillId="29" borderId="35" xfId="1" applyNumberFormat="1" applyFont="1" applyFill="1" applyBorder="1" applyAlignment="1">
      <alignment horizontal="center" vertical="center" wrapText="1"/>
    </xf>
    <xf numFmtId="0" fontId="7" fillId="0" borderId="1" xfId="0" applyFont="1" applyFill="1" applyBorder="1" applyAlignment="1">
      <alignment horizontal="center" vertical="center" wrapText="1"/>
    </xf>
    <xf numFmtId="166" fontId="35" fillId="29" borderId="6" xfId="0" applyNumberFormat="1" applyFont="1" applyFill="1" applyBorder="1" applyAlignment="1">
      <alignment horizontal="center" vertical="center"/>
    </xf>
    <xf numFmtId="14" fontId="8" fillId="29" borderId="6" xfId="1" applyNumberFormat="1" applyFont="1" applyFill="1" applyBorder="1" applyAlignment="1">
      <alignment horizontal="center" vertical="center"/>
    </xf>
    <xf numFmtId="3" fontId="8" fillId="29" borderId="9" xfId="0" applyNumberFormat="1" applyFont="1" applyFill="1" applyBorder="1" applyAlignment="1">
      <alignment horizontal="center" vertical="center"/>
    </xf>
    <xf numFmtId="0" fontId="38" fillId="21" borderId="6" xfId="0" applyFont="1" applyFill="1" applyBorder="1" applyAlignment="1">
      <alignment horizontal="left" vertical="top" wrapText="1"/>
    </xf>
    <xf numFmtId="167" fontId="8" fillId="19" borderId="1" xfId="0" applyNumberFormat="1" applyFont="1" applyFill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167" fontId="0" fillId="10" borderId="1" xfId="0" applyNumberFormat="1" applyFont="1" applyFill="1" applyBorder="1" applyAlignment="1">
      <alignment horizontal="center" vertical="center"/>
    </xf>
    <xf numFmtId="184" fontId="0" fillId="11" borderId="1" xfId="0" applyNumberFormat="1" applyFont="1" applyFill="1" applyBorder="1" applyAlignment="1">
      <alignment horizontal="center" vertical="center"/>
    </xf>
    <xf numFmtId="184" fontId="0" fillId="12" borderId="1" xfId="0" applyNumberFormat="1" applyFont="1" applyFill="1" applyBorder="1" applyAlignment="1">
      <alignment horizontal="center" vertical="center"/>
    </xf>
    <xf numFmtId="0" fontId="6" fillId="40" borderId="1" xfId="0" applyFont="1" applyFill="1" applyBorder="1" applyAlignment="1">
      <alignment horizontal="center" vertical="center"/>
    </xf>
    <xf numFmtId="0" fontId="7" fillId="8" borderId="6" xfId="0" applyFont="1" applyFill="1" applyBorder="1" applyAlignment="1">
      <alignment horizontal="center" vertical="center"/>
    </xf>
    <xf numFmtId="166" fontId="0" fillId="37" borderId="11" xfId="0" applyNumberFormat="1" applyFont="1" applyFill="1" applyBorder="1" applyAlignment="1">
      <alignment horizontal="center" vertical="center"/>
    </xf>
    <xf numFmtId="3" fontId="9" fillId="37" borderId="11" xfId="0" applyNumberFormat="1" applyFont="1" applyFill="1" applyBorder="1" applyAlignment="1">
      <alignment horizontal="center" vertical="center"/>
    </xf>
    <xf numFmtId="166" fontId="9" fillId="29" borderId="10" xfId="0" applyNumberFormat="1" applyFont="1" applyFill="1" applyBorder="1" applyAlignment="1">
      <alignment horizontal="center" vertical="center"/>
    </xf>
    <xf numFmtId="166" fontId="0" fillId="12" borderId="26" xfId="0" applyNumberFormat="1" applyFont="1" applyFill="1" applyBorder="1" applyAlignment="1">
      <alignment horizontal="center" vertical="center"/>
    </xf>
    <xf numFmtId="167" fontId="6" fillId="12" borderId="6" xfId="0" applyNumberFormat="1" applyFont="1" applyFill="1" applyBorder="1" applyAlignment="1">
      <alignment horizontal="center" vertical="center"/>
    </xf>
    <xf numFmtId="167" fontId="9" fillId="14" borderId="6" xfId="0" applyNumberFormat="1" applyFont="1" applyFill="1" applyBorder="1" applyAlignment="1">
      <alignment horizontal="center" vertical="center"/>
    </xf>
    <xf numFmtId="195" fontId="0" fillId="0" borderId="0" xfId="1" applyNumberFormat="1" applyFont="1" applyAlignment="1">
      <alignment horizontal="center" vertical="center"/>
    </xf>
    <xf numFmtId="14" fontId="8" fillId="15" borderId="1" xfId="7" applyNumberFormat="1" applyFont="1" applyFill="1" applyBorder="1" applyAlignment="1">
      <alignment horizontal="center" vertical="center" wrapText="1"/>
    </xf>
    <xf numFmtId="166" fontId="35" fillId="29" borderId="10" xfId="10" applyNumberFormat="1" applyFont="1" applyFill="1" applyBorder="1" applyAlignment="1">
      <alignment horizontal="center" vertical="center" wrapText="1"/>
    </xf>
    <xf numFmtId="166" fontId="8" fillId="0" borderId="6" xfId="0" applyNumberFormat="1" applyFont="1" applyFill="1" applyBorder="1" applyAlignment="1">
      <alignment horizontal="center" vertical="center"/>
    </xf>
    <xf numFmtId="0" fontId="0" fillId="8" borderId="1" xfId="0" applyFont="1" applyFill="1" applyBorder="1" applyAlignment="1">
      <alignment horizontal="center" vertical="center" wrapText="1"/>
    </xf>
    <xf numFmtId="165" fontId="9" fillId="0" borderId="6" xfId="1" applyFont="1" applyBorder="1" applyAlignment="1">
      <alignment horizontal="center" vertical="center"/>
    </xf>
    <xf numFmtId="168" fontId="9" fillId="0" borderId="6" xfId="1" applyNumberFormat="1" applyFont="1" applyBorder="1" applyAlignment="1">
      <alignment horizontal="center" vertical="center"/>
    </xf>
    <xf numFmtId="167" fontId="0" fillId="0" borderId="0" xfId="0" applyNumberFormat="1" applyFont="1"/>
    <xf numFmtId="177" fontId="8" fillId="29" borderId="33" xfId="1" applyNumberFormat="1" applyFont="1" applyFill="1" applyBorder="1" applyAlignment="1">
      <alignment horizontal="center" vertical="center"/>
    </xf>
    <xf numFmtId="166" fontId="9" fillId="29" borderId="6" xfId="1" applyNumberFormat="1" applyFont="1" applyFill="1" applyBorder="1" applyAlignment="1">
      <alignment horizontal="center" vertical="center"/>
    </xf>
    <xf numFmtId="166" fontId="1" fillId="29" borderId="11" xfId="1" applyNumberFormat="1" applyFont="1" applyFill="1" applyBorder="1" applyAlignment="1">
      <alignment horizontal="center" vertical="center"/>
    </xf>
    <xf numFmtId="0" fontId="38" fillId="29" borderId="6" xfId="0" applyFont="1" applyFill="1" applyBorder="1" applyAlignment="1">
      <alignment horizontal="left" vertical="center" wrapText="1"/>
    </xf>
    <xf numFmtId="0" fontId="0" fillId="21" borderId="10" xfId="0" applyFont="1" applyFill="1" applyBorder="1" applyAlignment="1">
      <alignment horizontal="left" vertical="top" wrapText="1"/>
    </xf>
    <xf numFmtId="0" fontId="6" fillId="8" borderId="1" xfId="0" applyFont="1" applyFill="1" applyBorder="1" applyAlignment="1">
      <alignment horizontal="center" vertical="center"/>
    </xf>
    <xf numFmtId="0" fontId="6" fillId="8" borderId="1" xfId="0" applyFont="1" applyFill="1" applyBorder="1" applyAlignment="1">
      <alignment horizontal="center" vertical="center" wrapText="1"/>
    </xf>
    <xf numFmtId="0" fontId="6" fillId="0" borderId="6" xfId="0" applyFont="1" applyFill="1" applyBorder="1" applyAlignment="1">
      <alignment horizontal="center" vertical="center" wrapText="1"/>
    </xf>
    <xf numFmtId="0" fontId="5" fillId="8" borderId="0" xfId="0" applyFont="1" applyFill="1" applyBorder="1" applyAlignment="1">
      <alignment horizontal="center" vertical="center" wrapText="1"/>
    </xf>
    <xf numFmtId="0" fontId="8" fillId="28" borderId="6" xfId="8" applyFont="1" applyFill="1" applyBorder="1" applyAlignment="1">
      <alignment horizontal="center" vertical="center"/>
    </xf>
    <xf numFmtId="3" fontId="0" fillId="9" borderId="1" xfId="0" applyNumberFormat="1" applyFont="1" applyFill="1" applyBorder="1" applyAlignment="1">
      <alignment horizontal="center" vertical="center"/>
    </xf>
    <xf numFmtId="166" fontId="8" fillId="12" borderId="9" xfId="0" applyNumberFormat="1" applyFont="1" applyFill="1" applyBorder="1" applyAlignment="1">
      <alignment horizontal="center" vertical="center"/>
    </xf>
    <xf numFmtId="166" fontId="0" fillId="12" borderId="10" xfId="0" applyNumberFormat="1" applyFont="1" applyFill="1" applyBorder="1" applyAlignment="1">
      <alignment horizontal="center" vertical="center"/>
    </xf>
    <xf numFmtId="1" fontId="8" fillId="25" borderId="33" xfId="1" applyNumberFormat="1" applyFont="1" applyFill="1" applyBorder="1" applyAlignment="1">
      <alignment horizontal="center" vertical="center"/>
    </xf>
    <xf numFmtId="166" fontId="9" fillId="29" borderId="32" xfId="1" applyNumberFormat="1" applyFont="1" applyFill="1" applyBorder="1" applyAlignment="1">
      <alignment horizontal="center" vertical="center"/>
    </xf>
    <xf numFmtId="14" fontId="38" fillId="29" borderId="33" xfId="0" applyNumberFormat="1" applyFont="1" applyFill="1" applyBorder="1" applyAlignment="1">
      <alignment horizontal="center" vertical="center"/>
    </xf>
    <xf numFmtId="0" fontId="0" fillId="21" borderId="10" xfId="0" applyFont="1" applyFill="1" applyBorder="1" applyAlignment="1">
      <alignment horizontal="left" vertical="center" wrapText="1"/>
    </xf>
    <xf numFmtId="0" fontId="38" fillId="21" borderId="10" xfId="0" applyFont="1" applyFill="1" applyBorder="1" applyAlignment="1">
      <alignment horizontal="center" vertical="center"/>
    </xf>
    <xf numFmtId="184" fontId="0" fillId="11" borderId="6" xfId="0" applyNumberFormat="1" applyFont="1" applyFill="1" applyBorder="1" applyAlignment="1">
      <alignment horizontal="center" vertical="center"/>
    </xf>
    <xf numFmtId="167" fontId="8" fillId="11" borderId="9" xfId="0" applyNumberFormat="1" applyFont="1" applyFill="1" applyBorder="1" applyAlignment="1">
      <alignment horizontal="center" vertical="center"/>
    </xf>
    <xf numFmtId="184" fontId="8" fillId="11" borderId="6" xfId="0" applyNumberFormat="1" applyFont="1" applyFill="1" applyBorder="1" applyAlignment="1">
      <alignment horizontal="center" vertical="center"/>
    </xf>
    <xf numFmtId="184" fontId="0" fillId="12" borderId="6" xfId="0" applyNumberFormat="1" applyFont="1" applyFill="1" applyBorder="1" applyAlignment="1">
      <alignment horizontal="center" vertical="center"/>
    </xf>
    <xf numFmtId="184" fontId="8" fillId="12" borderId="6" xfId="0" applyNumberFormat="1" applyFont="1" applyFill="1" applyBorder="1" applyAlignment="1">
      <alignment horizontal="center" vertical="center"/>
    </xf>
    <xf numFmtId="0" fontId="24" fillId="39" borderId="0" xfId="0" applyFont="1" applyFill="1" applyBorder="1" applyAlignment="1">
      <alignment horizontal="center" vertical="center"/>
    </xf>
    <xf numFmtId="0" fontId="23" fillId="32" borderId="13" xfId="9" applyFont="1" applyFill="1" applyBorder="1" applyAlignment="1">
      <alignment horizontal="center" vertical="center"/>
    </xf>
    <xf numFmtId="0" fontId="23" fillId="32" borderId="3" xfId="9" applyFont="1" applyFill="1" applyBorder="1" applyAlignment="1">
      <alignment horizontal="center" vertical="center"/>
    </xf>
    <xf numFmtId="0" fontId="6" fillId="38" borderId="13" xfId="0" applyFont="1" applyFill="1" applyBorder="1" applyAlignment="1">
      <alignment horizontal="center" vertical="center" wrapText="1"/>
    </xf>
    <xf numFmtId="0" fontId="6" fillId="38" borderId="3" xfId="0" applyFont="1" applyFill="1" applyBorder="1" applyAlignment="1">
      <alignment horizontal="center" vertical="center" wrapText="1"/>
    </xf>
    <xf numFmtId="0" fontId="23" fillId="42" borderId="13" xfId="9" applyFont="1" applyFill="1" applyBorder="1" applyAlignment="1">
      <alignment horizontal="center" vertical="center"/>
    </xf>
    <xf numFmtId="0" fontId="23" fillId="42" borderId="3" xfId="9" applyFont="1" applyFill="1" applyBorder="1" applyAlignment="1">
      <alignment horizontal="center" vertical="center"/>
    </xf>
    <xf numFmtId="0" fontId="23" fillId="40" borderId="13" xfId="9" applyFont="1" applyFill="1" applyBorder="1" applyAlignment="1">
      <alignment horizontal="center" vertical="center"/>
    </xf>
    <xf numFmtId="0" fontId="23" fillId="40" borderId="3" xfId="9" applyFont="1" applyFill="1" applyBorder="1" applyAlignment="1">
      <alignment horizontal="center" vertical="center"/>
    </xf>
    <xf numFmtId="0" fontId="23" fillId="41" borderId="13" xfId="9" applyFont="1" applyFill="1" applyBorder="1" applyAlignment="1">
      <alignment horizontal="center" vertical="center"/>
    </xf>
    <xf numFmtId="0" fontId="23" fillId="41" borderId="3" xfId="9" applyFont="1" applyFill="1" applyBorder="1" applyAlignment="1">
      <alignment horizontal="center" vertical="center"/>
    </xf>
    <xf numFmtId="0" fontId="23" fillId="35" borderId="13" xfId="9" applyFont="1" applyFill="1" applyBorder="1" applyAlignment="1">
      <alignment horizontal="center" vertical="center"/>
    </xf>
    <xf numFmtId="0" fontId="23" fillId="35" borderId="3" xfId="9" applyFont="1" applyFill="1" applyBorder="1" applyAlignment="1">
      <alignment horizontal="center" vertical="center"/>
    </xf>
  </cellXfs>
  <cellStyles count="22">
    <cellStyle name="40 % - Accent2" xfId="6" builtinId="35"/>
    <cellStyle name="60 % - Accent1" xfId="5" builtinId="32"/>
    <cellStyle name="60 % - Accent2" xfId="7" builtinId="36"/>
    <cellStyle name="60 % - Accent3" xfId="8" builtinId="40"/>
    <cellStyle name="Excel Built-in RowLevel_0" xfId="16" xr:uid="{00000000-0005-0000-0000-000005000000}"/>
    <cellStyle name="Excel_BuiltIn_RowLevel_1" xfId="18" xr:uid="{00000000-0005-0000-0000-000006000000}"/>
    <cellStyle name="Milliers" xfId="1" builtinId="3"/>
    <cellStyle name="Milliers 2" xfId="11" xr:uid="{00000000-0005-0000-0000-000009000000}"/>
    <cellStyle name="Milliers 3" xfId="20" xr:uid="{00000000-0005-0000-0000-00000A000000}"/>
    <cellStyle name="Neutre" xfId="4" builtinId="28"/>
    <cellStyle name="NiveauLigne_8" xfId="17" xr:uid="{00000000-0005-0000-0000-00000C000000}"/>
    <cellStyle name="Normal" xfId="0" builtinId="0"/>
    <cellStyle name="Normal 2" xfId="10" xr:uid="{00000000-0005-0000-0000-00000E000000}"/>
    <cellStyle name="Normal 2 2" xfId="21" xr:uid="{00000000-0005-0000-0000-00000F000000}"/>
    <cellStyle name="Normal 3" xfId="13" xr:uid="{00000000-0005-0000-0000-000010000000}"/>
    <cellStyle name="Normal 4" xfId="14" xr:uid="{00000000-0005-0000-0000-000011000000}"/>
    <cellStyle name="Normal 5" xfId="19" xr:uid="{00000000-0005-0000-0000-000012000000}"/>
    <cellStyle name="Normal_Liste programmation logts PCA NBL v2014" xfId="9" xr:uid="{00000000-0005-0000-0000-000013000000}"/>
    <cellStyle name="Normal_Prévisionnel HONO PAC 2012 V4 fev 2012" xfId="12" xr:uid="{00000000-0005-0000-0000-000014000000}"/>
    <cellStyle name="Pourcentage" xfId="2" builtinId="5"/>
    <cellStyle name="Pourcentage 2" xfId="15" xr:uid="{00000000-0005-0000-0000-000016000000}"/>
    <cellStyle name="Satisfaisant" xfId="3" builtinId="26"/>
  </cellStyles>
  <dxfs count="77">
    <dxf>
      <numFmt numFmtId="168" formatCode="_-* #,##0\ _€_-;\-* #,##0\ _€_-;_-* &quot;-&quot;??\ _€_-;_-@_-"/>
    </dxf>
    <dxf>
      <numFmt numFmtId="168" formatCode="_-* #,##0\ _€_-;\-* #,##0\ _€_-;_-* &quot;-&quot;??\ _€_-;_-@_-"/>
    </dxf>
    <dxf>
      <numFmt numFmtId="168" formatCode="_-* #,##0\ _€_-;\-* #,##0\ _€_-;_-* &quot;-&quot;??\ _€_-;_-@_-"/>
    </dxf>
    <dxf>
      <numFmt numFmtId="168" formatCode="_-* #,##0\ _€_-;\-* #,##0\ _€_-;_-* &quot;-&quot;??\ _€_-;_-@_-"/>
    </dxf>
    <dxf>
      <numFmt numFmtId="168" formatCode="_-* #,##0\ _€_-;\-* #,##0\ _€_-;_-* &quot;-&quot;??\ _€_-;_-@_-"/>
    </dxf>
    <dxf>
      <numFmt numFmtId="168" formatCode="_-* #,##0\ _€_-;\-* #,##0\ _€_-;_-* &quot;-&quot;??\ _€_-;_-@_-"/>
    </dxf>
    <dxf>
      <numFmt numFmtId="168" formatCode="_-* #,##0\ _€_-;\-* #,##0\ _€_-;_-* &quot;-&quot;??\ _€_-;_-@_-"/>
    </dxf>
    <dxf>
      <numFmt numFmtId="168" formatCode="_-* #,##0\ _€_-;\-* #,##0\ _€_-;_-* &quot;-&quot;??\ _€_-;_-@_-"/>
    </dxf>
    <dxf>
      <numFmt numFmtId="168" formatCode="_-* #,##0\ _€_-;\-* #,##0\ _€_-;_-* &quot;-&quot;??\ _€_-;_-@_-"/>
    </dxf>
    <dxf>
      <numFmt numFmtId="168" formatCode="_-* #,##0\ _€_-;\-* #,##0\ _€_-;_-* &quot;-&quot;??\ _€_-;_-@_-"/>
    </dxf>
    <dxf>
      <numFmt numFmtId="168" formatCode="_-* #,##0\ _€_-;\-* #,##0\ _€_-;_-* &quot;-&quot;??\ _€_-;_-@_-"/>
    </dxf>
    <dxf>
      <numFmt numFmtId="168" formatCode="_-* #,##0\ _€_-;\-* #,##0\ _€_-;_-* &quot;-&quot;??\ _€_-;_-@_-"/>
    </dxf>
    <dxf>
      <numFmt numFmtId="168" formatCode="_-* #,##0\ _€_-;\-* #,##0\ _€_-;_-* &quot;-&quot;??\ _€_-;_-@_-"/>
    </dxf>
    <dxf>
      <numFmt numFmtId="168" formatCode="_-* #,##0\ _€_-;\-* #,##0\ _€_-;_-* &quot;-&quot;??\ _€_-;_-@_-"/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</dxfs>
  <tableStyles count="0" defaultTableStyle="TableStyleMedium2" defaultPivotStyle="PivotStyleLight16"/>
  <colors>
    <mruColors>
      <color rgb="FF08E61D"/>
      <color rgb="FF0099FF"/>
      <color rgb="FFFF5050"/>
      <color rgb="FFFF9999"/>
      <color rgb="FFFFFF99"/>
      <color rgb="FFFF0066"/>
      <color rgb="FF006600"/>
      <color rgb="FFDA464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10" Type="http://schemas.microsoft.com/office/2006/relationships/vbaProject" Target="vbaProject.bin"/><Relationship Id="rId4" Type="http://schemas.openxmlformats.org/officeDocument/2006/relationships/externalLink" Target="externalLinks/externalLink2.xml"/><Relationship Id="rId9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6.xml.rels><?xml version="1.0" encoding="UTF-8" standalone="yes"?>
<Relationships xmlns="http://schemas.openxmlformats.org/package/2006/relationships"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tx>
            <c:strRef>
              <c:f>'Données '!$B$200</c:f>
              <c:strCache>
                <c:ptCount val="1"/>
                <c:pt idx="0">
                  <c:v>DBE</c:v>
                </c:pt>
              </c:strCache>
              <c:extLst xmlns:c15="http://schemas.microsoft.com/office/drawing/2012/chart"/>
            </c:strRef>
          </c:tx>
          <c:dPt>
            <c:idx val="0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6BB-E15D-4B04-A805-91B114C4A3B6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65-124B-4672-8516-F6D36DBA4278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7B-D7B1-482E-B5D5-FCEA5E541D50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35-7CD8-4A60-A33F-1717A39483F8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7F-D7B1-482E-B5D5-FCEA5E541D50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EF-7975-431F-9A40-51ED49C53D54}"/>
              </c:ext>
            </c:extLst>
          </c:dPt>
          <c:dPt>
            <c:idx val="6"/>
            <c:bubble3D val="0"/>
            <c:spPr>
              <a:solidFill>
                <a:schemeClr val="tx1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83-D7B1-482E-B5D5-FCEA5E541D50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39-7CD8-4A60-A33F-1717A39483F8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87-D7B1-482E-B5D5-FCEA5E541D50}"/>
              </c:ext>
            </c:extLst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55-5DB5-4B66-A3C1-23364AA3A90E}"/>
              </c:ext>
            </c:extLst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8B-D7B1-482E-B5D5-FCEA5E541D50}"/>
              </c:ext>
            </c:extLst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3D-7CD8-4A60-A33F-1717A39483F8}"/>
              </c:ext>
            </c:extLst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F3-7975-431F-9A40-51ED49C53D54}"/>
              </c:ext>
            </c:extLst>
          </c:dPt>
          <c:dPt>
            <c:idx val="1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41-7CD8-4A60-A33F-1717A39483F8}"/>
              </c:ext>
            </c:extLst>
          </c:dPt>
          <c:dPt>
            <c:idx val="1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67-124B-4672-8516-F6D36DBA4278}"/>
              </c:ext>
            </c:extLst>
          </c:dPt>
          <c:dPt>
            <c:idx val="1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45-7CD8-4A60-A33F-1717A39483F8}"/>
              </c:ext>
            </c:extLst>
          </c:dPt>
          <c:dPt>
            <c:idx val="1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F7-7975-431F-9A40-51ED49C53D54}"/>
              </c:ext>
            </c:extLst>
          </c:dPt>
          <c:dPt>
            <c:idx val="1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59-5DB5-4B66-A3C1-23364AA3A90E}"/>
              </c:ext>
            </c:extLst>
          </c:dPt>
          <c:dPt>
            <c:idx val="18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FB-7975-431F-9A40-51ED49C53D54}"/>
              </c:ext>
            </c:extLst>
          </c:dPt>
          <c:dPt>
            <c:idx val="19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AF-967E-4869-AF23-D06D183DB131}"/>
              </c:ext>
            </c:extLst>
          </c:dPt>
          <c:dPt>
            <c:idx val="20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FF-7975-431F-9A40-51ED49C53D54}"/>
              </c:ext>
            </c:extLst>
          </c:dPt>
          <c:dPt>
            <c:idx val="21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93-D8CA-4062-B9F1-ED55E0CBB8C4}"/>
              </c:ext>
            </c:extLst>
          </c:dPt>
          <c:dPt>
            <c:idx val="22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B3-967E-4869-AF23-D06D183DB131}"/>
              </c:ext>
            </c:extLst>
          </c:dPt>
          <c:dPt>
            <c:idx val="23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77-5603-4EC2-86D9-B7F372B6410A}"/>
              </c:ext>
            </c:extLst>
          </c:dPt>
          <c:dPt>
            <c:idx val="2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97-D8CA-4062-B9F1-ED55E0CBB8C4}"/>
              </c:ext>
            </c:extLst>
          </c:dPt>
          <c:dPt>
            <c:idx val="2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A1-6CAD-46DB-A625-73ECC388534F}"/>
              </c:ext>
            </c:extLst>
          </c:dPt>
          <c:dPt>
            <c:idx val="2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7B-5603-4EC2-86D9-B7F372B6410A}"/>
              </c:ext>
            </c:extLst>
          </c:dPt>
          <c:dPt>
            <c:idx val="2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5D-5DB5-4B66-A3C1-23364AA3A90E}"/>
              </c:ext>
            </c:extLst>
          </c:dPt>
          <c:dPt>
            <c:idx val="28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69-124B-4672-8516-F6D36DBA4278}"/>
              </c:ext>
            </c:extLst>
          </c:dPt>
          <c:dPt>
            <c:idx val="29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61-5DB5-4B66-A3C1-23364AA3A90E}"/>
              </c:ext>
            </c:extLst>
          </c:dPt>
          <c:dPt>
            <c:idx val="30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15-C46B-4F7B-A9F3-E53E8CB683E4}"/>
              </c:ext>
            </c:extLst>
          </c:dPt>
          <c:dPt>
            <c:idx val="31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65-5DB5-4B66-A3C1-23364AA3A90E}"/>
              </c:ext>
            </c:extLst>
          </c:dPt>
          <c:dPt>
            <c:idx val="32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F9-47D9-4560-990E-76275056911A}"/>
              </c:ext>
            </c:extLst>
          </c:dPt>
          <c:dPt>
            <c:idx val="33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19-C46B-4F7B-A9F3-E53E8CB683E4}"/>
              </c:ext>
            </c:extLst>
          </c:dPt>
          <c:dPt>
            <c:idx val="34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DD-0685-4E14-B5B6-7420081F0E1C}"/>
              </c:ext>
            </c:extLst>
          </c:dPt>
          <c:dPt>
            <c:idx val="35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FD-47D9-4560-990E-76275056911A}"/>
              </c:ext>
            </c:extLst>
          </c:dPt>
          <c:dPt>
            <c:idx val="36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C1-DB42-4AEF-88D0-E80D423E92EB}"/>
              </c:ext>
            </c:extLst>
          </c:dPt>
          <c:dPt>
            <c:idx val="37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E1-0685-4E14-B5B6-7420081F0E1C}"/>
              </c:ext>
            </c:extLst>
          </c:dPt>
          <c:dPt>
            <c:idx val="38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A5-6CAD-46DB-A625-73ECC388534F}"/>
              </c:ext>
            </c:extLst>
          </c:dPt>
          <c:dPt>
            <c:idx val="39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C5-DB42-4AEF-88D0-E80D423E92EB}"/>
              </c:ext>
            </c:extLst>
          </c:dPt>
          <c:dPt>
            <c:idx val="40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6B-124B-4672-8516-F6D36DBA4278}"/>
              </c:ext>
            </c:extLst>
          </c:dPt>
          <c:dPt>
            <c:idx val="41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A9-6CAD-46DB-A625-73ECC388534F}"/>
              </c:ext>
            </c:extLst>
          </c:dPt>
          <c:dPt>
            <c:idx val="42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6D-124B-4672-8516-F6D36DBA4278}"/>
              </c:ext>
            </c:extLst>
          </c:dPt>
          <c:dPt>
            <c:idx val="43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AD-6CAD-46DB-A625-73ECC388534F}"/>
              </c:ext>
            </c:extLst>
          </c:dPt>
          <c:dPt>
            <c:idx val="44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B-8E39-4229-977E-3A2A9C76E3EC}"/>
              </c:ext>
            </c:extLst>
          </c:dPt>
          <c:dPt>
            <c:idx val="45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F-D6E4-4410-9DDB-6099E70C9B54}"/>
              </c:ext>
            </c:extLst>
          </c:dPt>
          <c:dPt>
            <c:idx val="46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B-2F93-4217-9A8D-9E7F5C0BB36D}"/>
              </c:ext>
            </c:extLst>
          </c:dPt>
          <c:dPt>
            <c:idx val="47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F-8E39-4229-977E-3A2A9C76E3EC}"/>
              </c:ext>
            </c:extLst>
          </c:dPt>
          <c:dPt>
            <c:idx val="48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7-074F-4D0E-907E-B871CE50C3B5}"/>
              </c:ext>
            </c:extLst>
          </c:dPt>
          <c:dPt>
            <c:idx val="49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F-2F93-4217-9A8D-9E7F5C0BB36D}"/>
              </c:ext>
            </c:extLst>
          </c:dPt>
          <c:dPt>
            <c:idx val="50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B-13AB-435E-A413-7EDCBE83E228}"/>
              </c:ext>
            </c:extLst>
          </c:dPt>
          <c:dPt>
            <c:idx val="51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13-2F93-4217-9A8D-9E7F5C0BB36D}"/>
              </c:ext>
            </c:extLst>
          </c:dPt>
          <c:dPt>
            <c:idx val="52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7-811A-4EB7-A8C2-812DBBBC1ADA}"/>
              </c:ext>
            </c:extLst>
          </c:dPt>
          <c:dPt>
            <c:idx val="53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F-13AB-435E-A413-7EDCBE83E228}"/>
              </c:ext>
            </c:extLst>
          </c:dPt>
          <c:dPt>
            <c:idx val="54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B-074F-4D0E-907E-B871CE50C3B5}"/>
              </c:ext>
            </c:extLst>
          </c:dPt>
          <c:dPt>
            <c:idx val="55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13-13AB-435E-A413-7EDCBE83E228}"/>
              </c:ext>
            </c:extLst>
          </c:dPt>
          <c:dPt>
            <c:idx val="56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7-1423-4DA3-9E91-2F178A59A577}"/>
              </c:ext>
            </c:extLst>
          </c:dPt>
          <c:dPt>
            <c:idx val="57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F-074F-4D0E-907E-B871CE50C3B5}"/>
              </c:ext>
            </c:extLst>
          </c:dPt>
          <c:dPt>
            <c:idx val="58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B-811A-4EB7-A8C2-812DBBBC1ADA}"/>
              </c:ext>
            </c:extLst>
          </c:dPt>
          <c:dPt>
            <c:idx val="59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13-074F-4D0E-907E-B871CE50C3B5}"/>
              </c:ext>
            </c:extLst>
          </c:dPt>
          <c:dPt>
            <c:idx val="60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7-2225-4C9F-A028-BFCF29F50215}"/>
              </c:ext>
            </c:extLst>
          </c:dPt>
          <c:dPt>
            <c:idx val="61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F-811A-4EB7-A8C2-812DBBBC1ADA}"/>
              </c:ext>
            </c:extLst>
          </c:dPt>
          <c:dPt>
            <c:idx val="62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B-1423-4DA3-9E91-2F178A59A577}"/>
              </c:ext>
            </c:extLst>
          </c:dPt>
          <c:dPt>
            <c:idx val="63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13-811A-4EB7-A8C2-812DBBBC1ADA}"/>
              </c:ext>
            </c:extLst>
          </c:dPt>
          <c:dPt>
            <c:idx val="64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5-4B05-4744-B084-8A778940EB76}"/>
              </c:ext>
            </c:extLst>
          </c:dPt>
          <c:dPt>
            <c:idx val="65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F-1423-4DA3-9E91-2F178A59A577}"/>
              </c:ext>
            </c:extLst>
          </c:dPt>
          <c:dPt>
            <c:idx val="66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B-2225-4C9F-A028-BFCF29F50215}"/>
              </c:ext>
            </c:extLst>
          </c:dPt>
          <c:dPt>
            <c:idx val="67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13-1423-4DA3-9E91-2F178A59A577}"/>
              </c:ext>
            </c:extLst>
          </c:dPt>
          <c:dPt>
            <c:idx val="68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9-0696-490F-A601-4EC53AC22C61}"/>
              </c:ext>
            </c:extLst>
          </c:dPt>
          <c:dPt>
            <c:idx val="69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F-2225-4C9F-A028-BFCF29F50215}"/>
              </c:ext>
            </c:extLst>
          </c:dPt>
          <c:dPt>
            <c:idx val="70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5-D2B1-49B0-951D-5C6432E8E6D4}"/>
              </c:ext>
            </c:extLst>
          </c:dPt>
          <c:dPt>
            <c:idx val="71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13-2225-4C9F-A028-BFCF29F50215}"/>
              </c:ext>
            </c:extLst>
          </c:dPt>
          <c:dPt>
            <c:idx val="72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D-0696-490F-A601-4EC53AC22C61}"/>
              </c:ext>
            </c:extLst>
          </c:dPt>
          <c:dPt>
            <c:idx val="73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9-4B05-4744-B084-8A778940EB76}"/>
              </c:ext>
            </c:extLst>
          </c:dPt>
          <c:dPt>
            <c:idx val="74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11-0696-490F-A601-4EC53AC22C61}"/>
              </c:ext>
            </c:extLst>
          </c:dPt>
          <c:dPt>
            <c:idx val="75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5-35F8-4924-B17C-F7A2C7FEFDB8}"/>
              </c:ext>
            </c:extLst>
          </c:dPt>
          <c:dPt>
            <c:idx val="76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15-0696-490F-A601-4EC53AC22C61}"/>
              </c:ext>
            </c:extLst>
          </c:dPt>
          <c:dPt>
            <c:idx val="77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D-4B05-4744-B084-8A778940EB76}"/>
              </c:ext>
            </c:extLst>
          </c:dPt>
          <c:dPt>
            <c:idx val="78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9-D2B1-49B0-951D-5C6432E8E6D4}"/>
              </c:ext>
            </c:extLst>
          </c:dPt>
          <c:dPt>
            <c:idx val="79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11-4B05-4744-B084-8A778940EB76}"/>
              </c:ext>
            </c:extLst>
          </c:dPt>
          <c:dPt>
            <c:idx val="80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B-ED80-4BE8-9C3A-7C74E33EDAFD}"/>
              </c:ext>
            </c:extLst>
          </c:dPt>
          <c:dPt>
            <c:idx val="81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15-4B05-4744-B084-8A778940EB76}"/>
              </c:ext>
            </c:extLst>
          </c:dPt>
          <c:dPt>
            <c:idx val="82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B-9B27-4958-A52B-6B1CD3C230B3}"/>
              </c:ext>
            </c:extLst>
          </c:dPt>
          <c:dPt>
            <c:idx val="83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F-ED80-4BE8-9C3A-7C74E33EDAFD}"/>
              </c:ext>
            </c:extLst>
          </c:dPt>
          <c:dPt>
            <c:idx val="84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B-5E51-48B9-8927-834F803ADA54}"/>
              </c:ext>
            </c:extLst>
          </c:dPt>
          <c:dPt>
            <c:idx val="85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F-9B27-4958-A52B-6B1CD3C230B3}"/>
              </c:ext>
            </c:extLst>
          </c:dPt>
          <c:dPt>
            <c:idx val="86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5-B5BE-42E0-A8A2-28161EA51E44}"/>
              </c:ext>
            </c:extLst>
          </c:dPt>
          <c:dPt>
            <c:idx val="87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F-5E51-48B9-8927-834F803ADA54}"/>
              </c:ext>
            </c:extLst>
          </c:dPt>
          <c:dPt>
            <c:idx val="88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D-D2B1-49B0-951D-5C6432E8E6D4}"/>
              </c:ext>
            </c:extLst>
          </c:dPt>
          <c:dPt>
            <c:idx val="89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9-35F8-4924-B17C-F7A2C7FEFDB8}"/>
              </c:ext>
            </c:extLst>
          </c:dPt>
          <c:dPt>
            <c:idx val="90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11-D2B1-49B0-951D-5C6432E8E6D4}"/>
              </c:ext>
            </c:extLst>
          </c:dPt>
          <c:dPt>
            <c:idx val="91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B-32EE-4656-9908-669F7D52784B}"/>
              </c:ext>
            </c:extLst>
          </c:dPt>
          <c:dPt>
            <c:idx val="92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15-D2B1-49B0-951D-5C6432E8E6D4}"/>
              </c:ext>
            </c:extLst>
          </c:dPt>
          <c:dPt>
            <c:idx val="93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7-D969-4DE6-85CC-286C2E5CFC56}"/>
              </c:ext>
            </c:extLst>
          </c:dPt>
          <c:dPt>
            <c:idx val="94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F-32EE-4656-9908-669F7D52784B}"/>
              </c:ext>
            </c:extLst>
          </c:dPt>
          <c:dPt>
            <c:idx val="95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D-35F8-4924-B17C-F7A2C7FEFDB8}"/>
              </c:ext>
            </c:extLst>
          </c:dPt>
          <c:dPt>
            <c:idx val="96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9-D969-4DE6-85CC-286C2E5CFC56}"/>
              </c:ext>
            </c:extLst>
          </c:dPt>
          <c:dPt>
            <c:idx val="97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11-35F8-4924-B17C-F7A2C7FEFDB8}"/>
              </c:ext>
            </c:extLst>
          </c:dPt>
          <c:dPt>
            <c:idx val="98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B-D969-4DE6-85CC-286C2E5CFC56}"/>
              </c:ext>
            </c:extLst>
          </c:dPt>
          <c:dPt>
            <c:idx val="99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15-35F8-4924-B17C-F7A2C7FEFDB8}"/>
              </c:ext>
            </c:extLst>
          </c:dPt>
          <c:dPt>
            <c:idx val="100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B-8E61-4DFC-9A4E-E8DBF9060D7D}"/>
              </c:ext>
            </c:extLst>
          </c:dPt>
          <c:dPt>
            <c:idx val="101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F-D969-4DE6-85CC-286C2E5CFC56}"/>
              </c:ext>
            </c:extLst>
          </c:dPt>
          <c:dPt>
            <c:idx val="102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B-2ED1-4519-8FC7-F4304C9CA281}"/>
              </c:ext>
            </c:extLst>
          </c:dPt>
          <c:dPt>
            <c:idx val="103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F-8E61-4DFC-9A4E-E8DBF9060D7D}"/>
              </c:ext>
            </c:extLst>
          </c:dPt>
          <c:dPt>
            <c:idx val="104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B-D51D-4B85-BFF0-87C635A98C36}"/>
              </c:ext>
            </c:extLst>
          </c:dPt>
          <c:dPt>
            <c:idx val="105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F-2ED1-4519-8FC7-F4304C9CA281}"/>
              </c:ext>
            </c:extLst>
          </c:dPt>
          <c:dPt>
            <c:idx val="106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B-E8B3-43DA-BCB4-57AAECC033ED}"/>
              </c:ext>
            </c:extLst>
          </c:dPt>
          <c:dPt>
            <c:idx val="107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F-D51D-4B85-BFF0-87C635A98C36}"/>
              </c:ext>
            </c:extLst>
          </c:dPt>
          <c:dPt>
            <c:idx val="108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B-9D84-4C26-9B54-09271C78AC70}"/>
              </c:ext>
            </c:extLst>
          </c:dPt>
          <c:dPt>
            <c:idx val="109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F-E8B3-43DA-BCB4-57AAECC033ED}"/>
              </c:ext>
            </c:extLst>
          </c:dPt>
          <c:dPt>
            <c:idx val="110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B-AF0A-4B2A-B600-77B2B70A8232}"/>
              </c:ext>
            </c:extLst>
          </c:dPt>
          <c:dPt>
            <c:idx val="111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F-9D84-4C26-9B54-09271C78AC70}"/>
              </c:ext>
            </c:extLst>
          </c:dPt>
          <c:dPt>
            <c:idx val="112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B-CC31-4E40-BA0C-D07C6683472B}"/>
              </c:ext>
            </c:extLst>
          </c:dPt>
          <c:dPt>
            <c:idx val="113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F-AF0A-4B2A-B600-77B2B70A8232}"/>
              </c:ext>
            </c:extLst>
          </c:dPt>
          <c:dPt>
            <c:idx val="114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B-81D9-4BCD-B0C5-E422A51A624E}"/>
              </c:ext>
            </c:extLst>
          </c:dPt>
          <c:dPt>
            <c:idx val="115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F-CC31-4E40-BA0C-D07C6683472B}"/>
              </c:ext>
            </c:extLst>
          </c:dPt>
          <c:dPt>
            <c:idx val="116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7-B5BE-42E0-A8A2-28161EA51E44}"/>
              </c:ext>
            </c:extLst>
          </c:dPt>
          <c:dPt>
            <c:idx val="117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F-81D9-4BCD-B0C5-E422A51A624E}"/>
              </c:ext>
            </c:extLst>
          </c:dPt>
          <c:dPt>
            <c:idx val="118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B-8FBA-4069-8D00-08073E2C8915}"/>
              </c:ext>
            </c:extLst>
          </c:dPt>
          <c:dPt>
            <c:idx val="119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13-81D9-4BCD-B0C5-E422A51A624E}"/>
              </c:ext>
            </c:extLst>
          </c:dPt>
          <c:dPt>
            <c:idx val="120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9-75F3-4DDB-BF4B-1A2743782A43}"/>
              </c:ext>
            </c:extLst>
          </c:dPt>
          <c:dPt>
            <c:idx val="121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F-8FBA-4069-8D00-08073E2C8915}"/>
              </c:ext>
            </c:extLst>
          </c:dPt>
          <c:dPt>
            <c:idx val="122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9-B5BE-42E0-A8A2-28161EA51E44}"/>
              </c:ext>
            </c:extLst>
          </c:dPt>
          <c:dPt>
            <c:idx val="123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13-8FBA-4069-8D00-08073E2C8915}"/>
              </c:ext>
            </c:extLst>
          </c:dPt>
          <c:dPt>
            <c:idx val="124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D-75F3-4DDB-BF4B-1A2743782A43}"/>
              </c:ext>
            </c:extLst>
          </c:dPt>
          <c:dPt>
            <c:idx val="125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B-644B-4C4F-8358-A58905D1EA61}"/>
              </c:ext>
            </c:extLst>
          </c:dPt>
          <c:dPt>
            <c:idx val="126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11-75F3-4DDB-BF4B-1A2743782A43}"/>
              </c:ext>
            </c:extLst>
          </c:dPt>
          <c:dPt>
            <c:idx val="127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B-0B49-4ADE-A0A9-79213F38D348}"/>
              </c:ext>
            </c:extLst>
          </c:dPt>
          <c:dPt>
            <c:idx val="128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F-644B-4C4F-8358-A58905D1EA61}"/>
              </c:ext>
            </c:extLst>
          </c:dPt>
          <c:dPt>
            <c:idx val="129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B-04DF-48DA-B3A0-2E7C250DD45E}"/>
              </c:ext>
            </c:extLst>
          </c:dPt>
          <c:dPt>
            <c:idx val="130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F-0B49-4ADE-A0A9-79213F38D348}"/>
              </c:ext>
            </c:extLst>
          </c:dPt>
          <c:dPt>
            <c:idx val="131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B-B5BE-42E0-A8A2-28161EA51E44}"/>
              </c:ext>
            </c:extLst>
          </c:dPt>
          <c:dPt>
            <c:idx val="132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F-04DF-48DA-B3A0-2E7C250DD45E}"/>
              </c:ext>
            </c:extLst>
          </c:dPt>
          <c:dPt>
            <c:idx val="133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D-B5BE-42E0-A8A2-28161EA51E44}"/>
              </c:ext>
            </c:extLst>
          </c:dPt>
          <c:dPt>
            <c:idx val="134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F-B5BE-42E0-A8A2-28161EA51E44}"/>
              </c:ext>
            </c:extLst>
          </c:dPt>
          <c:dPt>
            <c:idx val="135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11-B5BE-42E0-A8A2-28161EA51E44}"/>
              </c:ext>
            </c:extLst>
          </c:dPt>
          <c:dPt>
            <c:idx val="136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13-B5BE-42E0-A8A2-28161EA51E44}"/>
              </c:ext>
            </c:extLst>
          </c:dPt>
          <c:dPt>
            <c:idx val="137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15-B5BE-42E0-A8A2-28161EA51E44}"/>
              </c:ext>
            </c:extLst>
          </c:dPt>
          <c:dPt>
            <c:idx val="138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17-B5BE-42E0-A8A2-28161EA51E44}"/>
              </c:ext>
            </c:extLst>
          </c:dPt>
          <c:dPt>
            <c:idx val="139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19-B5BE-42E0-A8A2-28161EA51E44}"/>
              </c:ext>
            </c:extLst>
          </c:dPt>
          <c:dPt>
            <c:idx val="140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1B-B5BE-42E0-A8A2-28161EA51E44}"/>
              </c:ext>
            </c:extLst>
          </c:dPt>
          <c:dPt>
            <c:idx val="141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1D-B5BE-42E0-A8A2-28161EA51E44}"/>
              </c:ext>
            </c:extLst>
          </c:dPt>
          <c:dPt>
            <c:idx val="142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1F-B5BE-42E0-A8A2-28161EA51E44}"/>
              </c:ext>
            </c:extLst>
          </c:dPt>
          <c:dPt>
            <c:idx val="143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21-B5BE-42E0-A8A2-28161EA51E44}"/>
              </c:ext>
            </c:extLst>
          </c:dPt>
          <c:dPt>
            <c:idx val="144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23-B5BE-42E0-A8A2-28161EA51E44}"/>
              </c:ext>
            </c:extLst>
          </c:dPt>
          <c:dPt>
            <c:idx val="145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25-B5BE-42E0-A8A2-28161EA51E44}"/>
              </c:ext>
            </c:extLst>
          </c:dPt>
          <c:dPt>
            <c:idx val="146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27-B5BE-42E0-A8A2-28161EA51E44}"/>
              </c:ext>
            </c:extLst>
          </c:dPt>
          <c:dPt>
            <c:idx val="147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29-B5BE-42E0-A8A2-28161EA51E44}"/>
              </c:ext>
            </c:extLst>
          </c:dPt>
          <c:dPt>
            <c:idx val="148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2B-B5BE-42E0-A8A2-28161EA51E44}"/>
              </c:ext>
            </c:extLst>
          </c:dPt>
          <c:dPt>
            <c:idx val="149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2D-B5BE-42E0-A8A2-28161EA51E44}"/>
              </c:ext>
            </c:extLst>
          </c:dPt>
          <c:dPt>
            <c:idx val="150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2F-B5BE-42E0-A8A2-28161EA51E44}"/>
              </c:ext>
            </c:extLst>
          </c:dPt>
          <c:dPt>
            <c:idx val="151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31-B5BE-42E0-A8A2-28161EA51E44}"/>
              </c:ext>
            </c:extLst>
          </c:dPt>
          <c:dPt>
            <c:idx val="152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33-B5BE-42E0-A8A2-28161EA51E44}"/>
              </c:ext>
            </c:extLst>
          </c:dPt>
          <c:dPt>
            <c:idx val="153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35-B5BE-42E0-A8A2-28161EA51E44}"/>
              </c:ext>
            </c:extLst>
          </c:dPt>
          <c:dPt>
            <c:idx val="154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37-B5BE-42E0-A8A2-28161EA51E44}"/>
              </c:ext>
            </c:extLst>
          </c:dPt>
          <c:dPt>
            <c:idx val="155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39-B5BE-42E0-A8A2-28161EA51E44}"/>
              </c:ext>
            </c:extLst>
          </c:dPt>
          <c:dPt>
            <c:idx val="156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3B-B5BE-42E0-A8A2-28161EA51E44}"/>
              </c:ext>
            </c:extLst>
          </c:dPt>
          <c:dPt>
            <c:idx val="157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3D-B5BE-42E0-A8A2-28161EA51E44}"/>
              </c:ext>
            </c:extLst>
          </c:dPt>
          <c:dPt>
            <c:idx val="158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3F-B5BE-42E0-A8A2-28161EA51E44}"/>
              </c:ext>
            </c:extLst>
          </c:dPt>
          <c:dPt>
            <c:idx val="159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41-B5BE-42E0-A8A2-28161EA51E44}"/>
              </c:ext>
            </c:extLst>
          </c:dPt>
          <c:dPt>
            <c:idx val="160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43-B5BE-42E0-A8A2-28161EA51E44}"/>
              </c:ext>
            </c:extLst>
          </c:dPt>
          <c:dPt>
            <c:idx val="161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45-B5BE-42E0-A8A2-28161EA51E44}"/>
              </c:ext>
            </c:extLst>
          </c:dPt>
          <c:dPt>
            <c:idx val="162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47-B5BE-42E0-A8A2-28161EA51E44}"/>
              </c:ext>
            </c:extLst>
          </c:dPt>
          <c:dPt>
            <c:idx val="163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49-B5BE-42E0-A8A2-28161EA51E44}"/>
              </c:ext>
            </c:extLst>
          </c:dPt>
          <c:dPt>
            <c:idx val="164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4B-B5BE-42E0-A8A2-28161EA51E44}"/>
              </c:ext>
            </c:extLst>
          </c:dPt>
          <c:dPt>
            <c:idx val="165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4D-B5BE-42E0-A8A2-28161EA51E44}"/>
              </c:ext>
            </c:extLst>
          </c:dPt>
          <c:dPt>
            <c:idx val="166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4F-B5BE-42E0-A8A2-28161EA51E44}"/>
              </c:ext>
            </c:extLst>
          </c:dPt>
          <c:dPt>
            <c:idx val="167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51-B5BE-42E0-A8A2-28161EA51E44}"/>
              </c:ext>
            </c:extLst>
          </c:dPt>
          <c:dPt>
            <c:idx val="168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53-B5BE-42E0-A8A2-28161EA51E44}"/>
              </c:ext>
            </c:extLst>
          </c:dPt>
          <c:dPt>
            <c:idx val="169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55-B5BE-42E0-A8A2-28161EA51E44}"/>
              </c:ext>
            </c:extLst>
          </c:dPt>
          <c:dPt>
            <c:idx val="170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57-B5BE-42E0-A8A2-28161EA51E44}"/>
              </c:ext>
            </c:extLst>
          </c:dPt>
          <c:dPt>
            <c:idx val="171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59-B5BE-42E0-A8A2-28161EA51E44}"/>
              </c:ext>
            </c:extLst>
          </c:dPt>
          <c:dPt>
            <c:idx val="172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5B-B5BE-42E0-A8A2-28161EA51E44}"/>
              </c:ext>
            </c:extLst>
          </c:dPt>
          <c:dPt>
            <c:idx val="173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5D-B5BE-42E0-A8A2-28161EA51E44}"/>
              </c:ext>
            </c:extLst>
          </c:dPt>
          <c:dPt>
            <c:idx val="174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5F-B5BE-42E0-A8A2-28161EA51E44}"/>
              </c:ext>
            </c:extLst>
          </c:dPt>
          <c:dPt>
            <c:idx val="175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61-B5BE-42E0-A8A2-28161EA51E44}"/>
              </c:ext>
            </c:extLst>
          </c:dPt>
          <c:dPt>
            <c:idx val="176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63-B5BE-42E0-A8A2-28161EA51E44}"/>
              </c:ext>
            </c:extLst>
          </c:dPt>
          <c:dPt>
            <c:idx val="177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65-B5BE-42E0-A8A2-28161EA51E44}"/>
              </c:ext>
            </c:extLst>
          </c:dPt>
          <c:dPt>
            <c:idx val="178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67-B5BE-42E0-A8A2-28161EA51E44}"/>
              </c:ext>
            </c:extLst>
          </c:dPt>
          <c:dPt>
            <c:idx val="179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69-B5BE-42E0-A8A2-28161EA51E44}"/>
              </c:ext>
            </c:extLst>
          </c:dPt>
          <c:dPt>
            <c:idx val="180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6B-B5BE-42E0-A8A2-28161EA51E44}"/>
              </c:ext>
            </c:extLst>
          </c:dPt>
          <c:dPt>
            <c:idx val="181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6D-B5BE-42E0-A8A2-28161EA51E44}"/>
              </c:ext>
            </c:extLst>
          </c:dPt>
          <c:dPt>
            <c:idx val="182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6F-B5BE-42E0-A8A2-28161EA51E44}"/>
              </c:ext>
            </c:extLst>
          </c:dPt>
          <c:dPt>
            <c:idx val="183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71-B5BE-42E0-A8A2-28161EA51E44}"/>
              </c:ext>
            </c:extLst>
          </c:dPt>
          <c:dPt>
            <c:idx val="184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73-B5BE-42E0-A8A2-28161EA51E44}"/>
              </c:ext>
            </c:extLst>
          </c:dPt>
          <c:dPt>
            <c:idx val="185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75-B5BE-42E0-A8A2-28161EA51E44}"/>
              </c:ext>
            </c:extLst>
          </c:dPt>
          <c:dPt>
            <c:idx val="186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77-B5BE-42E0-A8A2-28161EA51E44}"/>
              </c:ext>
            </c:extLst>
          </c:dPt>
          <c:dPt>
            <c:idx val="187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79-B5BE-42E0-A8A2-28161EA51E44}"/>
              </c:ext>
            </c:extLst>
          </c:dPt>
          <c:dPt>
            <c:idx val="188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7B-B5BE-42E0-A8A2-28161EA51E44}"/>
              </c:ext>
            </c:extLst>
          </c:dPt>
          <c:dPt>
            <c:idx val="189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7D-B5BE-42E0-A8A2-28161EA51E44}"/>
              </c:ext>
            </c:extLst>
          </c:dPt>
          <c:dPt>
            <c:idx val="190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7F-B5BE-42E0-A8A2-28161EA51E44}"/>
              </c:ext>
            </c:extLst>
          </c:dPt>
          <c:dPt>
            <c:idx val="191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81-B5BE-42E0-A8A2-28161EA51E44}"/>
              </c:ext>
            </c:extLst>
          </c:dPt>
          <c:dPt>
            <c:idx val="192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83-B5BE-42E0-A8A2-28161EA51E44}"/>
              </c:ext>
            </c:extLst>
          </c:dPt>
          <c:dPt>
            <c:idx val="193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85-B5BE-42E0-A8A2-28161EA51E44}"/>
              </c:ext>
            </c:extLst>
          </c:dPt>
          <c:dPt>
            <c:idx val="194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87-B5BE-42E0-A8A2-28161EA51E44}"/>
              </c:ext>
            </c:extLst>
          </c:dPt>
          <c:dPt>
            <c:idx val="195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89-B5BE-42E0-A8A2-28161EA51E44}"/>
              </c:ext>
            </c:extLst>
          </c:dPt>
          <c:dPt>
            <c:idx val="196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8B-B5BE-42E0-A8A2-28161EA51E44}"/>
              </c:ext>
            </c:extLst>
          </c:dPt>
          <c:dPt>
            <c:idx val="197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8D-B5BE-42E0-A8A2-28161EA51E44}"/>
              </c:ext>
            </c:extLst>
          </c:dPt>
          <c:dPt>
            <c:idx val="198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8F-B5BE-42E0-A8A2-28161EA51E44}"/>
              </c:ext>
            </c:extLst>
          </c:dPt>
          <c:dPt>
            <c:idx val="199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91-B5BE-42E0-A8A2-28161EA51E44}"/>
              </c:ext>
            </c:extLst>
          </c:dPt>
          <c:dPt>
            <c:idx val="200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93-B5BE-42E0-A8A2-28161EA51E44}"/>
              </c:ext>
            </c:extLst>
          </c:dPt>
          <c:dPt>
            <c:idx val="201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95-B5BE-42E0-A8A2-28161EA51E44}"/>
              </c:ext>
            </c:extLst>
          </c:dPt>
          <c:dPt>
            <c:idx val="202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97-B5BE-42E0-A8A2-28161EA51E44}"/>
              </c:ext>
            </c:extLst>
          </c:dPt>
          <c:dPt>
            <c:idx val="203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99-B5BE-42E0-A8A2-28161EA51E44}"/>
              </c:ext>
            </c:extLst>
          </c:dPt>
          <c:dPt>
            <c:idx val="204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9B-B5BE-42E0-A8A2-28161EA51E44}"/>
              </c:ext>
            </c:extLst>
          </c:dPt>
          <c:dPt>
            <c:idx val="205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9D-B5BE-42E0-A8A2-28161EA51E44}"/>
              </c:ext>
            </c:extLst>
          </c:dPt>
          <c:dPt>
            <c:idx val="206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9F-B5BE-42E0-A8A2-28161EA51E44}"/>
              </c:ext>
            </c:extLst>
          </c:dPt>
          <c:dPt>
            <c:idx val="207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A1-B5BE-42E0-A8A2-28161EA51E44}"/>
              </c:ext>
            </c:extLst>
          </c:dPt>
          <c:dPt>
            <c:idx val="208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A3-B5BE-42E0-A8A2-28161EA51E44}"/>
              </c:ext>
            </c:extLst>
          </c:dPt>
          <c:dPt>
            <c:idx val="209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A5-B5BE-42E0-A8A2-28161EA51E44}"/>
              </c:ext>
            </c:extLst>
          </c:dPt>
          <c:dPt>
            <c:idx val="210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A7-B5BE-42E0-A8A2-28161EA51E44}"/>
              </c:ext>
            </c:extLst>
          </c:dPt>
          <c:dPt>
            <c:idx val="211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A9-B5BE-42E0-A8A2-28161EA51E44}"/>
              </c:ext>
            </c:extLst>
          </c:dPt>
          <c:dPt>
            <c:idx val="212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AB-B5BE-42E0-A8A2-28161EA51E44}"/>
              </c:ext>
            </c:extLst>
          </c:dPt>
          <c:dPt>
            <c:idx val="213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AD-B5BE-42E0-A8A2-28161EA51E44}"/>
              </c:ext>
            </c:extLst>
          </c:dPt>
          <c:dPt>
            <c:idx val="214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AF-B5BE-42E0-A8A2-28161EA51E44}"/>
              </c:ext>
            </c:extLst>
          </c:dPt>
          <c:dPt>
            <c:idx val="215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B1-B5BE-42E0-A8A2-28161EA51E44}"/>
              </c:ext>
            </c:extLst>
          </c:dPt>
          <c:dPt>
            <c:idx val="216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B3-B5BE-42E0-A8A2-28161EA51E44}"/>
              </c:ext>
            </c:extLst>
          </c:dPt>
          <c:dPt>
            <c:idx val="217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B5-B5BE-42E0-A8A2-28161EA51E44}"/>
              </c:ext>
            </c:extLst>
          </c:dPt>
          <c:dPt>
            <c:idx val="218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B7-B5BE-42E0-A8A2-28161EA51E44}"/>
              </c:ext>
            </c:extLst>
          </c:dPt>
          <c:dPt>
            <c:idx val="219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B9-B5BE-42E0-A8A2-28161EA51E44}"/>
              </c:ext>
            </c:extLst>
          </c:dPt>
          <c:dPt>
            <c:idx val="220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BB-B5BE-42E0-A8A2-28161EA51E44}"/>
              </c:ext>
            </c:extLst>
          </c:dPt>
          <c:dPt>
            <c:idx val="221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BD-B5BE-42E0-A8A2-28161EA51E44}"/>
              </c:ext>
            </c:extLst>
          </c:dPt>
          <c:dPt>
            <c:idx val="222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BF-B5BE-42E0-A8A2-28161EA51E44}"/>
              </c:ext>
            </c:extLst>
          </c:dPt>
          <c:dPt>
            <c:idx val="223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C1-B5BE-42E0-A8A2-28161EA51E44}"/>
              </c:ext>
            </c:extLst>
          </c:dPt>
          <c:dPt>
            <c:idx val="224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C3-B5BE-42E0-A8A2-28161EA51E44}"/>
              </c:ext>
            </c:extLst>
          </c:dPt>
          <c:dPt>
            <c:idx val="225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C5-B5BE-42E0-A8A2-28161EA51E44}"/>
              </c:ext>
            </c:extLst>
          </c:dPt>
          <c:dPt>
            <c:idx val="226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C7-B5BE-42E0-A8A2-28161EA51E44}"/>
              </c:ext>
            </c:extLst>
          </c:dPt>
          <c:dPt>
            <c:idx val="227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C9-B5BE-42E0-A8A2-28161EA51E44}"/>
              </c:ext>
            </c:extLst>
          </c:dPt>
          <c:dPt>
            <c:idx val="228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CB-B5BE-42E0-A8A2-28161EA51E44}"/>
              </c:ext>
            </c:extLst>
          </c:dPt>
          <c:dPt>
            <c:idx val="229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CD-B5BE-42E0-A8A2-28161EA51E44}"/>
              </c:ext>
            </c:extLst>
          </c:dPt>
          <c:dPt>
            <c:idx val="230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CF-B5BE-42E0-A8A2-28161EA51E44}"/>
              </c:ext>
            </c:extLst>
          </c:dPt>
          <c:dPt>
            <c:idx val="231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D1-B5BE-42E0-A8A2-28161EA51E44}"/>
              </c:ext>
            </c:extLst>
          </c:dPt>
          <c:dPt>
            <c:idx val="232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D3-B5BE-42E0-A8A2-28161EA51E44}"/>
              </c:ext>
            </c:extLst>
          </c:dPt>
          <c:dPt>
            <c:idx val="233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D5-B5BE-42E0-A8A2-28161EA51E44}"/>
              </c:ext>
            </c:extLst>
          </c:dPt>
          <c:dPt>
            <c:idx val="234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D7-B5BE-42E0-A8A2-28161EA51E44}"/>
              </c:ext>
            </c:extLst>
          </c:dPt>
          <c:dPt>
            <c:idx val="235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D9-B5BE-42E0-A8A2-28161EA51E44}"/>
              </c:ext>
            </c:extLst>
          </c:dPt>
          <c:dPt>
            <c:idx val="236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DB-B5BE-42E0-A8A2-28161EA51E44}"/>
              </c:ext>
            </c:extLst>
          </c:dPt>
          <c:dPt>
            <c:idx val="237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DD-B5BE-42E0-A8A2-28161EA51E44}"/>
              </c:ext>
            </c:extLst>
          </c:dPt>
          <c:dPt>
            <c:idx val="238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DF-B5BE-42E0-A8A2-28161EA51E44}"/>
              </c:ext>
            </c:extLst>
          </c:dPt>
          <c:dPt>
            <c:idx val="239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E1-B5BE-42E0-A8A2-28161EA51E44}"/>
              </c:ext>
            </c:extLst>
          </c:dPt>
          <c:dPt>
            <c:idx val="240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E3-B5BE-42E0-A8A2-28161EA51E44}"/>
              </c:ext>
            </c:extLst>
          </c:dPt>
          <c:dPt>
            <c:idx val="241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E5-B5BE-42E0-A8A2-28161EA51E44}"/>
              </c:ext>
            </c:extLst>
          </c:dPt>
          <c:dPt>
            <c:idx val="242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E7-B5BE-42E0-A8A2-28161EA51E44}"/>
              </c:ext>
            </c:extLst>
          </c:dPt>
          <c:dPt>
            <c:idx val="243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E9-B5BE-42E0-A8A2-28161EA51E44}"/>
              </c:ext>
            </c:extLst>
          </c:dPt>
          <c:dPt>
            <c:idx val="244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EB-B5BE-42E0-A8A2-28161EA51E44}"/>
              </c:ext>
            </c:extLst>
          </c:dPt>
          <c:dPt>
            <c:idx val="245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ED-B5BE-42E0-A8A2-28161EA51E44}"/>
              </c:ext>
            </c:extLst>
          </c:dPt>
          <c:dPt>
            <c:idx val="246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EF-B5BE-42E0-A8A2-28161EA51E44}"/>
              </c:ext>
            </c:extLst>
          </c:dPt>
          <c:dPt>
            <c:idx val="247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F1-B5BE-42E0-A8A2-28161EA51E44}"/>
              </c:ext>
            </c:extLst>
          </c:dPt>
          <c:dPt>
            <c:idx val="248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F3-B5BE-42E0-A8A2-28161EA51E44}"/>
              </c:ext>
            </c:extLst>
          </c:dPt>
          <c:dPt>
            <c:idx val="249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F5-B5BE-42E0-A8A2-28161EA51E44}"/>
              </c:ext>
            </c:extLst>
          </c:dPt>
          <c:dPt>
            <c:idx val="250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F7-B5BE-42E0-A8A2-28161EA51E44}"/>
              </c:ext>
            </c:extLst>
          </c:dPt>
          <c:dPt>
            <c:idx val="251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F9-B5BE-42E0-A8A2-28161EA51E44}"/>
              </c:ext>
            </c:extLst>
          </c:dPt>
          <c:dPt>
            <c:idx val="252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FB-B5BE-42E0-A8A2-28161EA51E44}"/>
              </c:ext>
            </c:extLst>
          </c:dPt>
          <c:dPt>
            <c:idx val="253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FD-B5BE-42E0-A8A2-28161EA51E44}"/>
              </c:ext>
            </c:extLst>
          </c:dPt>
          <c:dPt>
            <c:idx val="254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FF-B5BE-42E0-A8A2-28161EA51E44}"/>
              </c:ext>
            </c:extLst>
          </c:dPt>
          <c:dPt>
            <c:idx val="255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01-B5BE-42E0-A8A2-28161EA51E44}"/>
              </c:ext>
            </c:extLst>
          </c:dPt>
          <c:dPt>
            <c:idx val="256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03-B5BE-42E0-A8A2-28161EA51E44}"/>
              </c:ext>
            </c:extLst>
          </c:dPt>
          <c:dPt>
            <c:idx val="257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05-B5BE-42E0-A8A2-28161EA51E44}"/>
              </c:ext>
            </c:extLst>
          </c:dPt>
          <c:dPt>
            <c:idx val="258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07-B5BE-42E0-A8A2-28161EA51E44}"/>
              </c:ext>
            </c:extLst>
          </c:dPt>
          <c:dPt>
            <c:idx val="259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09-B5BE-42E0-A8A2-28161EA51E44}"/>
              </c:ext>
            </c:extLst>
          </c:dPt>
          <c:dPt>
            <c:idx val="260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0B-B5BE-42E0-A8A2-28161EA51E44}"/>
              </c:ext>
            </c:extLst>
          </c:dPt>
          <c:dPt>
            <c:idx val="261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0D-B5BE-42E0-A8A2-28161EA51E44}"/>
              </c:ext>
            </c:extLst>
          </c:dPt>
          <c:dPt>
            <c:idx val="262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0F-B5BE-42E0-A8A2-28161EA51E44}"/>
              </c:ext>
            </c:extLst>
          </c:dPt>
          <c:dPt>
            <c:idx val="263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11-B5BE-42E0-A8A2-28161EA51E44}"/>
              </c:ext>
            </c:extLst>
          </c:dPt>
          <c:dPt>
            <c:idx val="264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13-B5BE-42E0-A8A2-28161EA51E44}"/>
              </c:ext>
            </c:extLst>
          </c:dPt>
          <c:dPt>
            <c:idx val="265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15-B5BE-42E0-A8A2-28161EA51E44}"/>
              </c:ext>
            </c:extLst>
          </c:dPt>
          <c:dPt>
            <c:idx val="266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17-B5BE-42E0-A8A2-28161EA51E44}"/>
              </c:ext>
            </c:extLst>
          </c:dPt>
          <c:dPt>
            <c:idx val="267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19-B5BE-42E0-A8A2-28161EA51E44}"/>
              </c:ext>
            </c:extLst>
          </c:dPt>
          <c:dPt>
            <c:idx val="268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1B-B5BE-42E0-A8A2-28161EA51E44}"/>
              </c:ext>
            </c:extLst>
          </c:dPt>
          <c:dPt>
            <c:idx val="269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1D-B5BE-42E0-A8A2-28161EA51E44}"/>
              </c:ext>
            </c:extLst>
          </c:dPt>
          <c:dPt>
            <c:idx val="27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1F-B5BE-42E0-A8A2-28161EA51E44}"/>
              </c:ext>
            </c:extLst>
          </c:dPt>
          <c:dPt>
            <c:idx val="27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21-B5BE-42E0-A8A2-28161EA51E44}"/>
              </c:ext>
            </c:extLst>
          </c:dPt>
          <c:dPt>
            <c:idx val="27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23-B5BE-42E0-A8A2-28161EA51E44}"/>
              </c:ext>
            </c:extLst>
          </c:dPt>
          <c:dPt>
            <c:idx val="27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25-B5BE-42E0-A8A2-28161EA51E44}"/>
              </c:ext>
            </c:extLst>
          </c:dPt>
          <c:dPt>
            <c:idx val="27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27-B5BE-42E0-A8A2-28161EA51E44}"/>
              </c:ext>
            </c:extLst>
          </c:dPt>
          <c:dPt>
            <c:idx val="27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29-B5BE-42E0-A8A2-28161EA51E44}"/>
              </c:ext>
            </c:extLst>
          </c:dPt>
          <c:dPt>
            <c:idx val="27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2B-B5BE-42E0-A8A2-28161EA51E44}"/>
              </c:ext>
            </c:extLst>
          </c:dPt>
          <c:dPt>
            <c:idx val="277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2D-B5BE-42E0-A8A2-28161EA51E44}"/>
              </c:ext>
            </c:extLst>
          </c:dPt>
          <c:dPt>
            <c:idx val="278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2F-B5BE-42E0-A8A2-28161EA51E44}"/>
              </c:ext>
            </c:extLst>
          </c:dPt>
          <c:dPt>
            <c:idx val="279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31-B5BE-42E0-A8A2-28161EA51E44}"/>
              </c:ext>
            </c:extLst>
          </c:dPt>
          <c:dPt>
            <c:idx val="280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33-B5BE-42E0-A8A2-28161EA51E44}"/>
              </c:ext>
            </c:extLst>
          </c:dPt>
          <c:dPt>
            <c:idx val="281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35-B5BE-42E0-A8A2-28161EA51E44}"/>
              </c:ext>
            </c:extLst>
          </c:dPt>
          <c:dPt>
            <c:idx val="28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37-B5BE-42E0-A8A2-28161EA51E44}"/>
              </c:ext>
            </c:extLst>
          </c:dPt>
          <c:dPt>
            <c:idx val="28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39-B5BE-42E0-A8A2-28161EA51E44}"/>
              </c:ext>
            </c:extLst>
          </c:dPt>
          <c:dPt>
            <c:idx val="28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3B-B5BE-42E0-A8A2-28161EA51E44}"/>
              </c:ext>
            </c:extLst>
          </c:dPt>
          <c:dPt>
            <c:idx val="28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3D-B5BE-42E0-A8A2-28161EA51E44}"/>
              </c:ext>
            </c:extLst>
          </c:dPt>
          <c:dPt>
            <c:idx val="28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3F-B5BE-42E0-A8A2-28161EA51E44}"/>
              </c:ext>
            </c:extLst>
          </c:dPt>
          <c:dPt>
            <c:idx val="28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41-B5BE-42E0-A8A2-28161EA51E44}"/>
              </c:ext>
            </c:extLst>
          </c:dPt>
          <c:dPt>
            <c:idx val="288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43-B5BE-42E0-A8A2-28161EA51E44}"/>
              </c:ext>
            </c:extLst>
          </c:dPt>
          <c:dPt>
            <c:idx val="289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45-B5BE-42E0-A8A2-28161EA51E44}"/>
              </c:ext>
            </c:extLst>
          </c:dPt>
          <c:dPt>
            <c:idx val="290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47-B5BE-42E0-A8A2-28161EA51E44}"/>
              </c:ext>
            </c:extLst>
          </c:dPt>
          <c:dPt>
            <c:idx val="291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49-B5BE-42E0-A8A2-28161EA51E44}"/>
              </c:ext>
            </c:extLst>
          </c:dPt>
          <c:dPt>
            <c:idx val="292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4B-B5BE-42E0-A8A2-28161EA51E44}"/>
              </c:ext>
            </c:extLst>
          </c:dPt>
          <c:dPt>
            <c:idx val="293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4D-B5BE-42E0-A8A2-28161EA51E44}"/>
              </c:ext>
            </c:extLst>
          </c:dPt>
          <c:dPt>
            <c:idx val="29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4F-B5BE-42E0-A8A2-28161EA51E44}"/>
              </c:ext>
            </c:extLst>
          </c:dPt>
          <c:dPt>
            <c:idx val="29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51-B5BE-42E0-A8A2-28161EA51E44}"/>
              </c:ext>
            </c:extLst>
          </c:dPt>
          <c:dPt>
            <c:idx val="29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53-B5BE-42E0-A8A2-28161EA51E44}"/>
              </c:ext>
            </c:extLst>
          </c:dPt>
          <c:dPt>
            <c:idx val="29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55-B5BE-42E0-A8A2-28161EA51E44}"/>
              </c:ext>
            </c:extLst>
          </c:dPt>
          <c:dPt>
            <c:idx val="298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57-B5BE-42E0-A8A2-28161EA51E44}"/>
              </c:ext>
            </c:extLst>
          </c:dPt>
          <c:dPt>
            <c:idx val="299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59-B5BE-42E0-A8A2-28161EA51E44}"/>
              </c:ext>
            </c:extLst>
          </c:dPt>
          <c:dPt>
            <c:idx val="300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5B-B5BE-42E0-A8A2-28161EA51E44}"/>
              </c:ext>
            </c:extLst>
          </c:dPt>
          <c:dPt>
            <c:idx val="301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5D-B5BE-42E0-A8A2-28161EA51E44}"/>
              </c:ext>
            </c:extLst>
          </c:dPt>
          <c:dPt>
            <c:idx val="302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5F-B5BE-42E0-A8A2-28161EA51E44}"/>
              </c:ext>
            </c:extLst>
          </c:dPt>
          <c:dPt>
            <c:idx val="303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61-B5BE-42E0-A8A2-28161EA51E44}"/>
              </c:ext>
            </c:extLst>
          </c:dPt>
          <c:dPt>
            <c:idx val="304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63-B5BE-42E0-A8A2-28161EA51E44}"/>
              </c:ext>
            </c:extLst>
          </c:dPt>
          <c:dPt>
            <c:idx val="305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65-B5BE-42E0-A8A2-28161EA51E44}"/>
              </c:ext>
            </c:extLst>
          </c:dPt>
          <c:dPt>
            <c:idx val="306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67-B5BE-42E0-A8A2-28161EA51E44}"/>
              </c:ext>
            </c:extLst>
          </c:dPt>
          <c:dPt>
            <c:idx val="307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69-B5BE-42E0-A8A2-28161EA51E44}"/>
              </c:ext>
            </c:extLst>
          </c:dPt>
          <c:dPt>
            <c:idx val="308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6B-B5BE-42E0-A8A2-28161EA51E44}"/>
              </c:ext>
            </c:extLst>
          </c:dPt>
          <c:dPt>
            <c:idx val="309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6D-B5BE-42E0-A8A2-28161EA51E44}"/>
              </c:ext>
            </c:extLst>
          </c:dPt>
          <c:dPt>
            <c:idx val="310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6F-B5BE-42E0-A8A2-28161EA51E44}"/>
              </c:ext>
            </c:extLst>
          </c:dPt>
          <c:dPt>
            <c:idx val="311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71-B5BE-42E0-A8A2-28161EA51E44}"/>
              </c:ext>
            </c:extLst>
          </c:dPt>
          <c:dPt>
            <c:idx val="312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73-B5BE-42E0-A8A2-28161EA51E44}"/>
              </c:ext>
            </c:extLst>
          </c:dPt>
          <c:dPt>
            <c:idx val="313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75-B5BE-42E0-A8A2-28161EA51E44}"/>
              </c:ext>
            </c:extLst>
          </c:dPt>
          <c:dPt>
            <c:idx val="314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77-B5BE-42E0-A8A2-28161EA51E44}"/>
              </c:ext>
            </c:extLst>
          </c:dPt>
          <c:dPt>
            <c:idx val="315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79-B5BE-42E0-A8A2-28161EA51E44}"/>
              </c:ext>
            </c:extLst>
          </c:dPt>
          <c:dPt>
            <c:idx val="316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7B-B5BE-42E0-A8A2-28161EA51E44}"/>
              </c:ext>
            </c:extLst>
          </c:dPt>
          <c:dPt>
            <c:idx val="317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7D-B5BE-42E0-A8A2-28161EA51E44}"/>
              </c:ext>
            </c:extLst>
          </c:dPt>
          <c:dPt>
            <c:idx val="318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7F-B5BE-42E0-A8A2-28161EA51E44}"/>
              </c:ext>
            </c:extLst>
          </c:dPt>
          <c:dPt>
            <c:idx val="319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81-B5BE-42E0-A8A2-28161EA51E44}"/>
              </c:ext>
            </c:extLst>
          </c:dPt>
          <c:dPt>
            <c:idx val="320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83-B5BE-42E0-A8A2-28161EA51E44}"/>
              </c:ext>
            </c:extLst>
          </c:dPt>
          <c:dPt>
            <c:idx val="321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85-B5BE-42E0-A8A2-28161EA51E44}"/>
              </c:ext>
            </c:extLst>
          </c:dPt>
          <c:dPt>
            <c:idx val="322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87-B5BE-42E0-A8A2-28161EA51E44}"/>
              </c:ext>
            </c:extLst>
          </c:dPt>
          <c:dPt>
            <c:idx val="323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89-B5BE-42E0-A8A2-28161EA51E44}"/>
              </c:ext>
            </c:extLst>
          </c:dPt>
          <c:dPt>
            <c:idx val="324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8B-B5BE-42E0-A8A2-28161EA51E44}"/>
              </c:ext>
            </c:extLst>
          </c:dPt>
          <c:dPt>
            <c:idx val="325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8D-B5BE-42E0-A8A2-28161EA51E44}"/>
              </c:ext>
            </c:extLst>
          </c:dPt>
          <c:dPt>
            <c:idx val="326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8F-B5BE-42E0-A8A2-28161EA51E44}"/>
              </c:ext>
            </c:extLst>
          </c:dPt>
          <c:dPt>
            <c:idx val="327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91-B5BE-42E0-A8A2-28161EA51E44}"/>
              </c:ext>
            </c:extLst>
          </c:dPt>
          <c:dPt>
            <c:idx val="328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93-B5BE-42E0-A8A2-28161EA51E44}"/>
              </c:ext>
            </c:extLst>
          </c:dPt>
          <c:dPt>
            <c:idx val="329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95-B5BE-42E0-A8A2-28161EA51E44}"/>
              </c:ext>
            </c:extLst>
          </c:dPt>
          <c:dPt>
            <c:idx val="330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97-B5BE-42E0-A8A2-28161EA51E44}"/>
              </c:ext>
            </c:extLst>
          </c:dPt>
          <c:dPt>
            <c:idx val="331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99-B5BE-42E0-A8A2-28161EA51E44}"/>
              </c:ext>
            </c:extLst>
          </c:dPt>
          <c:dPt>
            <c:idx val="332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9B-B5BE-42E0-A8A2-28161EA51E44}"/>
              </c:ext>
            </c:extLst>
          </c:dPt>
          <c:dPt>
            <c:idx val="333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9D-B5BE-42E0-A8A2-28161EA51E44}"/>
              </c:ext>
            </c:extLst>
          </c:dPt>
          <c:dPt>
            <c:idx val="334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9F-B5BE-42E0-A8A2-28161EA51E44}"/>
              </c:ext>
            </c:extLst>
          </c:dPt>
          <c:dPt>
            <c:idx val="335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A1-B5BE-42E0-A8A2-28161EA51E44}"/>
              </c:ext>
            </c:extLst>
          </c:dPt>
          <c:dPt>
            <c:idx val="336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A3-B5BE-42E0-A8A2-28161EA51E44}"/>
              </c:ext>
            </c:extLst>
          </c:dPt>
          <c:dPt>
            <c:idx val="337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A5-B5BE-42E0-A8A2-28161EA51E44}"/>
              </c:ext>
            </c:extLst>
          </c:dPt>
          <c:dPt>
            <c:idx val="338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A7-B5BE-42E0-A8A2-28161EA51E44}"/>
              </c:ext>
            </c:extLst>
          </c:dPt>
          <c:dPt>
            <c:idx val="339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A9-B5BE-42E0-A8A2-28161EA51E44}"/>
              </c:ext>
            </c:extLst>
          </c:dPt>
          <c:dPt>
            <c:idx val="340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AB-B5BE-42E0-A8A2-28161EA51E44}"/>
              </c:ext>
            </c:extLst>
          </c:dPt>
          <c:dPt>
            <c:idx val="341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AD-B5BE-42E0-A8A2-28161EA51E44}"/>
              </c:ext>
            </c:extLst>
          </c:dPt>
          <c:dPt>
            <c:idx val="342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AF-B5BE-42E0-A8A2-28161EA51E44}"/>
              </c:ext>
            </c:extLst>
          </c:dPt>
          <c:dPt>
            <c:idx val="343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B1-B5BE-42E0-A8A2-28161EA51E44}"/>
              </c:ext>
            </c:extLst>
          </c:dPt>
          <c:dPt>
            <c:idx val="344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B3-B5BE-42E0-A8A2-28161EA51E44}"/>
              </c:ext>
            </c:extLst>
          </c:dPt>
          <c:dPt>
            <c:idx val="345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B5-B5BE-42E0-A8A2-28161EA51E44}"/>
              </c:ext>
            </c:extLst>
          </c:dPt>
          <c:dPt>
            <c:idx val="346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B7-B5BE-42E0-A8A2-28161EA51E44}"/>
              </c:ext>
            </c:extLst>
          </c:dPt>
          <c:dPt>
            <c:idx val="347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B9-B5BE-42E0-A8A2-28161EA51E44}"/>
              </c:ext>
            </c:extLst>
          </c:dPt>
          <c:dPt>
            <c:idx val="348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BB-B5BE-42E0-A8A2-28161EA51E44}"/>
              </c:ext>
            </c:extLst>
          </c:dPt>
          <c:dPt>
            <c:idx val="349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BD-B5BE-42E0-A8A2-28161EA51E44}"/>
              </c:ext>
            </c:extLst>
          </c:dPt>
          <c:dPt>
            <c:idx val="350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BF-B5BE-42E0-A8A2-28161EA51E44}"/>
              </c:ext>
            </c:extLst>
          </c:dPt>
          <c:dPt>
            <c:idx val="351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C1-B5BE-42E0-A8A2-28161EA51E44}"/>
              </c:ext>
            </c:extLst>
          </c:dPt>
          <c:dPt>
            <c:idx val="352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C3-B5BE-42E0-A8A2-28161EA51E44}"/>
              </c:ext>
            </c:extLst>
          </c:dPt>
          <c:dPt>
            <c:idx val="353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C5-B5BE-42E0-A8A2-28161EA51E44}"/>
              </c:ext>
            </c:extLst>
          </c:dPt>
          <c:dPt>
            <c:idx val="354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C7-B5BE-42E0-A8A2-28161EA51E44}"/>
              </c:ext>
            </c:extLst>
          </c:dPt>
          <c:dPt>
            <c:idx val="355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C9-B5BE-42E0-A8A2-28161EA51E44}"/>
              </c:ext>
            </c:extLst>
          </c:dPt>
          <c:dPt>
            <c:idx val="356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CB-B5BE-42E0-A8A2-28161EA51E44}"/>
              </c:ext>
            </c:extLst>
          </c:dPt>
          <c:dPt>
            <c:idx val="357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CD-B5BE-42E0-A8A2-28161EA51E44}"/>
              </c:ext>
            </c:extLst>
          </c:dPt>
          <c:dPt>
            <c:idx val="358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CF-B5BE-42E0-A8A2-28161EA51E44}"/>
              </c:ext>
            </c:extLst>
          </c:dPt>
          <c:dPt>
            <c:idx val="359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D1-B5BE-42E0-A8A2-28161EA51E44}"/>
              </c:ext>
            </c:extLst>
          </c:dPt>
          <c:dPt>
            <c:idx val="360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D3-B5BE-42E0-A8A2-28161EA51E44}"/>
              </c:ext>
            </c:extLst>
          </c:dPt>
          <c:dPt>
            <c:idx val="361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D5-B5BE-42E0-A8A2-28161EA51E44}"/>
              </c:ext>
            </c:extLst>
          </c:dPt>
          <c:dPt>
            <c:idx val="362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D7-B5BE-42E0-A8A2-28161EA51E44}"/>
              </c:ext>
            </c:extLst>
          </c:dPt>
          <c:dPt>
            <c:idx val="363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D9-B5BE-42E0-A8A2-28161EA51E44}"/>
              </c:ext>
            </c:extLst>
          </c:dPt>
          <c:dPt>
            <c:idx val="364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DB-B5BE-42E0-A8A2-28161EA51E44}"/>
              </c:ext>
            </c:extLst>
          </c:dPt>
          <c:dPt>
            <c:idx val="365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DD-B5BE-42E0-A8A2-28161EA51E44}"/>
              </c:ext>
            </c:extLst>
          </c:dPt>
          <c:dPt>
            <c:idx val="366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DF-B5BE-42E0-A8A2-28161EA51E44}"/>
              </c:ext>
            </c:extLst>
          </c:dPt>
          <c:dPt>
            <c:idx val="367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E1-B5BE-42E0-A8A2-28161EA51E44}"/>
              </c:ext>
            </c:extLst>
          </c:dPt>
          <c:dPt>
            <c:idx val="368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E3-B5BE-42E0-A8A2-28161EA51E44}"/>
              </c:ext>
            </c:extLst>
          </c:dPt>
          <c:dPt>
            <c:idx val="369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E5-B5BE-42E0-A8A2-28161EA51E44}"/>
              </c:ext>
            </c:extLst>
          </c:dPt>
          <c:dPt>
            <c:idx val="370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E7-B5BE-42E0-A8A2-28161EA51E44}"/>
              </c:ext>
            </c:extLst>
          </c:dPt>
          <c:dPt>
            <c:idx val="371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E9-B5BE-42E0-A8A2-28161EA51E44}"/>
              </c:ext>
            </c:extLst>
          </c:dPt>
          <c:dPt>
            <c:idx val="372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EB-B5BE-42E0-A8A2-28161EA51E44}"/>
              </c:ext>
            </c:extLst>
          </c:dPt>
          <c:dPt>
            <c:idx val="373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ED-B5BE-42E0-A8A2-28161EA51E44}"/>
              </c:ext>
            </c:extLst>
          </c:dPt>
          <c:dPt>
            <c:idx val="374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EF-B5BE-42E0-A8A2-28161EA51E44}"/>
              </c:ext>
            </c:extLst>
          </c:dPt>
          <c:dPt>
            <c:idx val="375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F1-B5BE-42E0-A8A2-28161EA51E44}"/>
              </c:ext>
            </c:extLst>
          </c:dPt>
          <c:dPt>
            <c:idx val="376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F3-B5BE-42E0-A8A2-28161EA51E44}"/>
              </c:ext>
            </c:extLst>
          </c:dPt>
          <c:dPt>
            <c:idx val="377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F5-B5BE-42E0-A8A2-28161EA51E44}"/>
              </c:ext>
            </c:extLst>
          </c:dPt>
          <c:dPt>
            <c:idx val="378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F7-B5BE-42E0-A8A2-28161EA51E44}"/>
              </c:ext>
            </c:extLst>
          </c:dPt>
          <c:dPt>
            <c:idx val="379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F9-B5BE-42E0-A8A2-28161EA51E44}"/>
              </c:ext>
            </c:extLst>
          </c:dPt>
          <c:dPt>
            <c:idx val="380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FB-B5BE-42E0-A8A2-28161EA51E44}"/>
              </c:ext>
            </c:extLst>
          </c:dPt>
          <c:dPt>
            <c:idx val="381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FD-B5BE-42E0-A8A2-28161EA51E44}"/>
              </c:ext>
            </c:extLst>
          </c:dPt>
          <c:dPt>
            <c:idx val="382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FF-B5BE-42E0-A8A2-28161EA51E44}"/>
              </c:ext>
            </c:extLst>
          </c:dPt>
          <c:dPt>
            <c:idx val="383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01-B5BE-42E0-A8A2-28161EA51E44}"/>
              </c:ext>
            </c:extLst>
          </c:dPt>
          <c:dPt>
            <c:idx val="384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03-B5BE-42E0-A8A2-28161EA51E44}"/>
              </c:ext>
            </c:extLst>
          </c:dPt>
          <c:dPt>
            <c:idx val="385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05-B5BE-42E0-A8A2-28161EA51E44}"/>
              </c:ext>
            </c:extLst>
          </c:dPt>
          <c:dPt>
            <c:idx val="386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07-B5BE-42E0-A8A2-28161EA51E44}"/>
              </c:ext>
            </c:extLst>
          </c:dPt>
          <c:dPt>
            <c:idx val="387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09-B5BE-42E0-A8A2-28161EA51E44}"/>
              </c:ext>
            </c:extLst>
          </c:dPt>
          <c:dPt>
            <c:idx val="388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0B-B5BE-42E0-A8A2-28161EA51E44}"/>
              </c:ext>
            </c:extLst>
          </c:dPt>
          <c:dPt>
            <c:idx val="389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0D-B5BE-42E0-A8A2-28161EA51E44}"/>
              </c:ext>
            </c:extLst>
          </c:dPt>
          <c:dPt>
            <c:idx val="390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0F-B5BE-42E0-A8A2-28161EA51E44}"/>
              </c:ext>
            </c:extLst>
          </c:dPt>
          <c:dPt>
            <c:idx val="391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11-B5BE-42E0-A8A2-28161EA51E44}"/>
              </c:ext>
            </c:extLst>
          </c:dPt>
          <c:dPt>
            <c:idx val="392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13-B5BE-42E0-A8A2-28161EA51E44}"/>
              </c:ext>
            </c:extLst>
          </c:dPt>
          <c:dPt>
            <c:idx val="393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15-B5BE-42E0-A8A2-28161EA51E44}"/>
              </c:ext>
            </c:extLst>
          </c:dPt>
          <c:dPt>
            <c:idx val="394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17-B5BE-42E0-A8A2-28161EA51E44}"/>
              </c:ext>
            </c:extLst>
          </c:dPt>
          <c:dPt>
            <c:idx val="395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19-B5BE-42E0-A8A2-28161EA51E44}"/>
              </c:ext>
            </c:extLst>
          </c:dPt>
          <c:dPt>
            <c:idx val="396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1B-B5BE-42E0-A8A2-28161EA51E44}"/>
              </c:ext>
            </c:extLst>
          </c:dPt>
          <c:dPt>
            <c:idx val="397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1D-B5BE-42E0-A8A2-28161EA51E44}"/>
              </c:ext>
            </c:extLst>
          </c:dPt>
          <c:dPt>
            <c:idx val="398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1F-B5BE-42E0-A8A2-28161EA51E44}"/>
              </c:ext>
            </c:extLst>
          </c:dPt>
          <c:dPt>
            <c:idx val="399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21-B5BE-42E0-A8A2-28161EA51E44}"/>
              </c:ext>
            </c:extLst>
          </c:dPt>
          <c:dPt>
            <c:idx val="400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23-B5BE-42E0-A8A2-28161EA51E44}"/>
              </c:ext>
            </c:extLst>
          </c:dPt>
          <c:dPt>
            <c:idx val="401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25-B5BE-42E0-A8A2-28161EA51E44}"/>
              </c:ext>
            </c:extLst>
          </c:dPt>
          <c:dPt>
            <c:idx val="402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27-B5BE-42E0-A8A2-28161EA51E44}"/>
              </c:ext>
            </c:extLst>
          </c:dPt>
          <c:dPt>
            <c:idx val="403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29-B5BE-42E0-A8A2-28161EA51E44}"/>
              </c:ext>
            </c:extLst>
          </c:dPt>
          <c:dPt>
            <c:idx val="404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2B-B5BE-42E0-A8A2-28161EA51E44}"/>
              </c:ext>
            </c:extLst>
          </c:dPt>
          <c:dPt>
            <c:idx val="405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2D-B5BE-42E0-A8A2-28161EA51E44}"/>
              </c:ext>
            </c:extLst>
          </c:dPt>
          <c:dPt>
            <c:idx val="406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2F-B5BE-42E0-A8A2-28161EA51E44}"/>
              </c:ext>
            </c:extLst>
          </c:dPt>
          <c:dPt>
            <c:idx val="407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31-B5BE-42E0-A8A2-28161EA51E44}"/>
              </c:ext>
            </c:extLst>
          </c:dPt>
          <c:dPt>
            <c:idx val="408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33-B5BE-42E0-A8A2-28161EA51E44}"/>
              </c:ext>
            </c:extLst>
          </c:dPt>
          <c:dPt>
            <c:idx val="409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35-B5BE-42E0-A8A2-28161EA51E44}"/>
              </c:ext>
            </c:extLst>
          </c:dPt>
          <c:dPt>
            <c:idx val="410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37-B5BE-42E0-A8A2-28161EA51E44}"/>
              </c:ext>
            </c:extLst>
          </c:dPt>
          <c:dPt>
            <c:idx val="411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39-B5BE-42E0-A8A2-28161EA51E44}"/>
              </c:ext>
            </c:extLst>
          </c:dPt>
          <c:dPt>
            <c:idx val="412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3B-B5BE-42E0-A8A2-28161EA51E44}"/>
              </c:ext>
            </c:extLst>
          </c:dPt>
          <c:dPt>
            <c:idx val="413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3D-B5BE-42E0-A8A2-28161EA51E44}"/>
              </c:ext>
            </c:extLst>
          </c:dPt>
          <c:dPt>
            <c:idx val="414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3F-B5BE-42E0-A8A2-28161EA51E44}"/>
              </c:ext>
            </c:extLst>
          </c:dPt>
          <c:dPt>
            <c:idx val="415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41-B5BE-42E0-A8A2-28161EA51E44}"/>
              </c:ext>
            </c:extLst>
          </c:dPt>
          <c:dPt>
            <c:idx val="416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43-B5BE-42E0-A8A2-28161EA51E44}"/>
              </c:ext>
            </c:extLst>
          </c:dPt>
          <c:dPt>
            <c:idx val="417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45-B5BE-42E0-A8A2-28161EA51E44}"/>
              </c:ext>
            </c:extLst>
          </c:dPt>
          <c:dPt>
            <c:idx val="418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47-B5BE-42E0-A8A2-28161EA51E44}"/>
              </c:ext>
            </c:extLst>
          </c:dPt>
          <c:dPt>
            <c:idx val="419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49-B5BE-42E0-A8A2-28161EA51E44}"/>
              </c:ext>
            </c:extLst>
          </c:dPt>
          <c:dPt>
            <c:idx val="420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4B-B5BE-42E0-A8A2-28161EA51E44}"/>
              </c:ext>
            </c:extLst>
          </c:dPt>
          <c:dPt>
            <c:idx val="421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4D-B5BE-42E0-A8A2-28161EA51E44}"/>
              </c:ext>
            </c:extLst>
          </c:dPt>
          <c:dPt>
            <c:idx val="422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4F-B5BE-42E0-A8A2-28161EA51E44}"/>
              </c:ext>
            </c:extLst>
          </c:dPt>
          <c:dPt>
            <c:idx val="423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51-B5BE-42E0-A8A2-28161EA51E44}"/>
              </c:ext>
            </c:extLst>
          </c:dPt>
          <c:dPt>
            <c:idx val="424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53-B5BE-42E0-A8A2-28161EA51E44}"/>
              </c:ext>
            </c:extLst>
          </c:dPt>
          <c:dPt>
            <c:idx val="425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55-B5BE-42E0-A8A2-28161EA51E44}"/>
              </c:ext>
            </c:extLst>
          </c:dPt>
          <c:dPt>
            <c:idx val="426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57-B5BE-42E0-A8A2-28161EA51E44}"/>
              </c:ext>
            </c:extLst>
          </c:dPt>
          <c:dPt>
            <c:idx val="427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59-B5BE-42E0-A8A2-28161EA51E44}"/>
              </c:ext>
            </c:extLst>
          </c:dPt>
          <c:dPt>
            <c:idx val="428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5B-B5BE-42E0-A8A2-28161EA51E44}"/>
              </c:ext>
            </c:extLst>
          </c:dPt>
          <c:dPt>
            <c:idx val="429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5D-B5BE-42E0-A8A2-28161EA51E44}"/>
              </c:ext>
            </c:extLst>
          </c:dPt>
          <c:dPt>
            <c:idx val="430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5F-B5BE-42E0-A8A2-28161EA51E44}"/>
              </c:ext>
            </c:extLst>
          </c:dPt>
          <c:dPt>
            <c:idx val="431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61-B5BE-42E0-A8A2-28161EA51E44}"/>
              </c:ext>
            </c:extLst>
          </c:dPt>
          <c:dPt>
            <c:idx val="432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63-B5BE-42E0-A8A2-28161EA51E44}"/>
              </c:ext>
            </c:extLst>
          </c:dPt>
          <c:dPt>
            <c:idx val="433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65-B5BE-42E0-A8A2-28161EA51E44}"/>
              </c:ext>
            </c:extLst>
          </c:dPt>
          <c:dPt>
            <c:idx val="434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67-B5BE-42E0-A8A2-28161EA51E44}"/>
              </c:ext>
            </c:extLst>
          </c:dPt>
          <c:dPt>
            <c:idx val="435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69-B5BE-42E0-A8A2-28161EA51E44}"/>
              </c:ext>
            </c:extLst>
          </c:dPt>
          <c:dPt>
            <c:idx val="436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6B-B5BE-42E0-A8A2-28161EA51E44}"/>
              </c:ext>
            </c:extLst>
          </c:dPt>
          <c:dPt>
            <c:idx val="437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6D-B5BE-42E0-A8A2-28161EA51E44}"/>
              </c:ext>
            </c:extLst>
          </c:dPt>
          <c:dPt>
            <c:idx val="438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6F-B5BE-42E0-A8A2-28161EA51E44}"/>
              </c:ext>
            </c:extLst>
          </c:dPt>
          <c:dPt>
            <c:idx val="439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71-B5BE-42E0-A8A2-28161EA51E44}"/>
              </c:ext>
            </c:extLst>
          </c:dPt>
          <c:dPt>
            <c:idx val="440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73-B5BE-42E0-A8A2-28161EA51E44}"/>
              </c:ext>
            </c:extLst>
          </c:dPt>
          <c:dPt>
            <c:idx val="441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75-B5BE-42E0-A8A2-28161EA51E44}"/>
              </c:ext>
            </c:extLst>
          </c:dPt>
          <c:dPt>
            <c:idx val="442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77-B5BE-42E0-A8A2-28161EA51E44}"/>
              </c:ext>
            </c:extLst>
          </c:dPt>
          <c:dPt>
            <c:idx val="443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79-B5BE-42E0-A8A2-28161EA51E44}"/>
              </c:ext>
            </c:extLst>
          </c:dPt>
          <c:dPt>
            <c:idx val="444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7B-B5BE-42E0-A8A2-28161EA51E44}"/>
              </c:ext>
            </c:extLst>
          </c:dPt>
          <c:dPt>
            <c:idx val="445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7D-B5BE-42E0-A8A2-28161EA51E44}"/>
              </c:ext>
            </c:extLst>
          </c:dPt>
          <c:dPt>
            <c:idx val="446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7F-B5BE-42E0-A8A2-28161EA51E44}"/>
              </c:ext>
            </c:extLst>
          </c:dPt>
          <c:dPt>
            <c:idx val="447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81-B5BE-42E0-A8A2-28161EA51E44}"/>
              </c:ext>
            </c:extLst>
          </c:dPt>
          <c:dPt>
            <c:idx val="448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83-B5BE-42E0-A8A2-28161EA51E44}"/>
              </c:ext>
            </c:extLst>
          </c:dPt>
          <c:dPt>
            <c:idx val="449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85-B5BE-42E0-A8A2-28161EA51E44}"/>
              </c:ext>
            </c:extLst>
          </c:dPt>
          <c:dPt>
            <c:idx val="450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87-B5BE-42E0-A8A2-28161EA51E44}"/>
              </c:ext>
            </c:extLst>
          </c:dPt>
          <c:dPt>
            <c:idx val="451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89-B5BE-42E0-A8A2-28161EA51E44}"/>
              </c:ext>
            </c:extLst>
          </c:dPt>
          <c:dPt>
            <c:idx val="452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8B-B5BE-42E0-A8A2-28161EA51E44}"/>
              </c:ext>
            </c:extLst>
          </c:dPt>
          <c:dPt>
            <c:idx val="453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8D-B5BE-42E0-A8A2-28161EA51E44}"/>
              </c:ext>
            </c:extLst>
          </c:dPt>
          <c:dPt>
            <c:idx val="454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8F-B5BE-42E0-A8A2-28161EA51E44}"/>
              </c:ext>
            </c:extLst>
          </c:dPt>
          <c:dPt>
            <c:idx val="455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91-B5BE-42E0-A8A2-28161EA51E44}"/>
              </c:ext>
            </c:extLst>
          </c:dPt>
          <c:dPt>
            <c:idx val="456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93-B5BE-42E0-A8A2-28161EA51E44}"/>
              </c:ext>
            </c:extLst>
          </c:dPt>
          <c:dPt>
            <c:idx val="457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95-B5BE-42E0-A8A2-28161EA51E44}"/>
              </c:ext>
            </c:extLst>
          </c:dPt>
          <c:dPt>
            <c:idx val="458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97-B5BE-42E0-A8A2-28161EA51E44}"/>
              </c:ext>
            </c:extLst>
          </c:dPt>
          <c:dPt>
            <c:idx val="459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99-B5BE-42E0-A8A2-28161EA51E44}"/>
              </c:ext>
            </c:extLst>
          </c:dPt>
          <c:dPt>
            <c:idx val="460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9B-B5BE-42E0-A8A2-28161EA51E44}"/>
              </c:ext>
            </c:extLst>
          </c:dPt>
          <c:dPt>
            <c:idx val="461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9D-B5BE-42E0-A8A2-28161EA51E44}"/>
              </c:ext>
            </c:extLst>
          </c:dPt>
          <c:dPt>
            <c:idx val="462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9F-B5BE-42E0-A8A2-28161EA51E44}"/>
              </c:ext>
            </c:extLst>
          </c:dPt>
          <c:dPt>
            <c:idx val="463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A1-B5BE-42E0-A8A2-28161EA51E44}"/>
              </c:ext>
            </c:extLst>
          </c:dPt>
          <c:dPt>
            <c:idx val="464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A3-B5BE-42E0-A8A2-28161EA51E44}"/>
              </c:ext>
            </c:extLst>
          </c:dPt>
          <c:dPt>
            <c:idx val="465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A5-B5BE-42E0-A8A2-28161EA51E44}"/>
              </c:ext>
            </c:extLst>
          </c:dPt>
          <c:dPt>
            <c:idx val="466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A7-B5BE-42E0-A8A2-28161EA51E44}"/>
              </c:ext>
            </c:extLst>
          </c:dPt>
          <c:dPt>
            <c:idx val="467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A9-B5BE-42E0-A8A2-28161EA51E44}"/>
              </c:ext>
            </c:extLst>
          </c:dPt>
          <c:dPt>
            <c:idx val="468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AB-B5BE-42E0-A8A2-28161EA51E44}"/>
              </c:ext>
            </c:extLst>
          </c:dPt>
          <c:dPt>
            <c:idx val="469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AD-B5BE-42E0-A8A2-28161EA51E44}"/>
              </c:ext>
            </c:extLst>
          </c:dPt>
          <c:dPt>
            <c:idx val="470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AF-B5BE-42E0-A8A2-28161EA51E44}"/>
              </c:ext>
            </c:extLst>
          </c:dPt>
          <c:dPt>
            <c:idx val="471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B1-B5BE-42E0-A8A2-28161EA51E44}"/>
              </c:ext>
            </c:extLst>
          </c:dPt>
          <c:dPt>
            <c:idx val="472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B3-B5BE-42E0-A8A2-28161EA51E44}"/>
              </c:ext>
            </c:extLst>
          </c:dPt>
          <c:dPt>
            <c:idx val="473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B5-B5BE-42E0-A8A2-28161EA51E44}"/>
              </c:ext>
            </c:extLst>
          </c:dPt>
          <c:dPt>
            <c:idx val="474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B7-B5BE-42E0-A8A2-28161EA51E44}"/>
              </c:ext>
            </c:extLst>
          </c:dPt>
          <c:dPt>
            <c:idx val="475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B9-B5BE-42E0-A8A2-28161EA51E44}"/>
              </c:ext>
            </c:extLst>
          </c:dPt>
          <c:dPt>
            <c:idx val="476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BB-B5BE-42E0-A8A2-28161EA51E44}"/>
              </c:ext>
            </c:extLst>
          </c:dPt>
          <c:dPt>
            <c:idx val="477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BD-B5BE-42E0-A8A2-28161EA51E44}"/>
              </c:ext>
            </c:extLst>
          </c:dPt>
          <c:dPt>
            <c:idx val="478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BF-B5BE-42E0-A8A2-28161EA51E44}"/>
              </c:ext>
            </c:extLst>
          </c:dPt>
          <c:dPt>
            <c:idx val="479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C1-B5BE-42E0-A8A2-28161EA51E44}"/>
              </c:ext>
            </c:extLst>
          </c:dPt>
          <c:dPt>
            <c:idx val="480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C3-B5BE-42E0-A8A2-28161EA51E44}"/>
              </c:ext>
            </c:extLst>
          </c:dPt>
          <c:dPt>
            <c:idx val="481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C5-B5BE-42E0-A8A2-28161EA51E44}"/>
              </c:ext>
            </c:extLst>
          </c:dPt>
          <c:dPt>
            <c:idx val="482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C7-B5BE-42E0-A8A2-28161EA51E44}"/>
              </c:ext>
            </c:extLst>
          </c:dPt>
          <c:dPt>
            <c:idx val="483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C9-B5BE-42E0-A8A2-28161EA51E44}"/>
              </c:ext>
            </c:extLst>
          </c:dPt>
          <c:dPt>
            <c:idx val="484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CB-B5BE-42E0-A8A2-28161EA51E44}"/>
              </c:ext>
            </c:extLst>
          </c:dPt>
          <c:dPt>
            <c:idx val="485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CD-B5BE-42E0-A8A2-28161EA51E44}"/>
              </c:ext>
            </c:extLst>
          </c:dPt>
          <c:dPt>
            <c:idx val="486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CF-B5BE-42E0-A8A2-28161EA51E44}"/>
              </c:ext>
            </c:extLst>
          </c:dPt>
          <c:dPt>
            <c:idx val="487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D1-B5BE-42E0-A8A2-28161EA51E44}"/>
              </c:ext>
            </c:extLst>
          </c:dPt>
          <c:dPt>
            <c:idx val="488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D3-B5BE-42E0-A8A2-28161EA51E44}"/>
              </c:ext>
            </c:extLst>
          </c:dPt>
          <c:dPt>
            <c:idx val="489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D5-B5BE-42E0-A8A2-28161EA51E44}"/>
              </c:ext>
            </c:extLst>
          </c:dPt>
          <c:dPt>
            <c:idx val="490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D7-B5BE-42E0-A8A2-28161EA51E44}"/>
              </c:ext>
            </c:extLst>
          </c:dPt>
          <c:dPt>
            <c:idx val="491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D9-B5BE-42E0-A8A2-28161EA51E44}"/>
              </c:ext>
            </c:extLst>
          </c:dPt>
          <c:dPt>
            <c:idx val="492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DB-B5BE-42E0-A8A2-28161EA51E44}"/>
              </c:ext>
            </c:extLst>
          </c:dPt>
          <c:dPt>
            <c:idx val="493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DD-B5BE-42E0-A8A2-28161EA51E44}"/>
              </c:ext>
            </c:extLst>
          </c:dPt>
          <c:dPt>
            <c:idx val="494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DF-B5BE-42E0-A8A2-28161EA51E44}"/>
              </c:ext>
            </c:extLst>
          </c:dPt>
          <c:dPt>
            <c:idx val="495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E1-B5BE-42E0-A8A2-28161EA51E44}"/>
              </c:ext>
            </c:extLst>
          </c:dPt>
          <c:dPt>
            <c:idx val="496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E3-B5BE-42E0-A8A2-28161EA51E44}"/>
              </c:ext>
            </c:extLst>
          </c:dPt>
          <c:dPt>
            <c:idx val="497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E5-B5BE-42E0-A8A2-28161EA51E44}"/>
              </c:ext>
            </c:extLst>
          </c:dPt>
          <c:dPt>
            <c:idx val="498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E7-B5BE-42E0-A8A2-28161EA51E44}"/>
              </c:ext>
            </c:extLst>
          </c:dPt>
          <c:dPt>
            <c:idx val="499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E9-B5BE-42E0-A8A2-28161EA51E44}"/>
              </c:ext>
            </c:extLst>
          </c:dPt>
          <c:dPt>
            <c:idx val="500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EB-B5BE-42E0-A8A2-28161EA51E44}"/>
              </c:ext>
            </c:extLst>
          </c:dPt>
          <c:dPt>
            <c:idx val="501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ED-B5BE-42E0-A8A2-28161EA51E44}"/>
              </c:ext>
            </c:extLst>
          </c:dPt>
          <c:dPt>
            <c:idx val="502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EF-B5BE-42E0-A8A2-28161EA51E44}"/>
              </c:ext>
            </c:extLst>
          </c:dPt>
          <c:dPt>
            <c:idx val="503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F1-B5BE-42E0-A8A2-28161EA51E44}"/>
              </c:ext>
            </c:extLst>
          </c:dPt>
          <c:dPt>
            <c:idx val="504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F3-B5BE-42E0-A8A2-28161EA51E44}"/>
              </c:ext>
            </c:extLst>
          </c:dPt>
          <c:dPt>
            <c:idx val="505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F5-B5BE-42E0-A8A2-28161EA51E44}"/>
              </c:ext>
            </c:extLst>
          </c:dPt>
          <c:dPt>
            <c:idx val="506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F7-B5BE-42E0-A8A2-28161EA51E44}"/>
              </c:ext>
            </c:extLst>
          </c:dPt>
          <c:dPt>
            <c:idx val="507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F9-B5BE-42E0-A8A2-28161EA51E44}"/>
              </c:ext>
            </c:extLst>
          </c:dPt>
          <c:dPt>
            <c:idx val="508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FB-B5BE-42E0-A8A2-28161EA51E44}"/>
              </c:ext>
            </c:extLst>
          </c:dPt>
          <c:dPt>
            <c:idx val="509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FD-B5BE-42E0-A8A2-28161EA51E44}"/>
              </c:ext>
            </c:extLst>
          </c:dPt>
          <c:dPt>
            <c:idx val="510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FF-B5BE-42E0-A8A2-28161EA51E44}"/>
              </c:ext>
            </c:extLst>
          </c:dPt>
          <c:dPt>
            <c:idx val="511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01-B5BE-42E0-A8A2-28161EA51E44}"/>
              </c:ext>
            </c:extLst>
          </c:dPt>
          <c:dPt>
            <c:idx val="512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03-B5BE-42E0-A8A2-28161EA51E44}"/>
              </c:ext>
            </c:extLst>
          </c:dPt>
          <c:dPt>
            <c:idx val="513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05-B5BE-42E0-A8A2-28161EA51E44}"/>
              </c:ext>
            </c:extLst>
          </c:dPt>
          <c:dPt>
            <c:idx val="514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07-B5BE-42E0-A8A2-28161EA51E44}"/>
              </c:ext>
            </c:extLst>
          </c:dPt>
          <c:dPt>
            <c:idx val="515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09-B5BE-42E0-A8A2-28161EA51E44}"/>
              </c:ext>
            </c:extLst>
          </c:dPt>
          <c:dPt>
            <c:idx val="516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0B-B5BE-42E0-A8A2-28161EA51E44}"/>
              </c:ext>
            </c:extLst>
          </c:dPt>
          <c:dPt>
            <c:idx val="517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0D-B5BE-42E0-A8A2-28161EA51E44}"/>
              </c:ext>
            </c:extLst>
          </c:dPt>
          <c:dPt>
            <c:idx val="518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0F-B5BE-42E0-A8A2-28161EA51E44}"/>
              </c:ext>
            </c:extLst>
          </c:dPt>
          <c:dPt>
            <c:idx val="519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11-B5BE-42E0-A8A2-28161EA51E44}"/>
              </c:ext>
            </c:extLst>
          </c:dPt>
          <c:dPt>
            <c:idx val="520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13-B5BE-42E0-A8A2-28161EA51E44}"/>
              </c:ext>
            </c:extLst>
          </c:dPt>
          <c:dPt>
            <c:idx val="521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15-B5BE-42E0-A8A2-28161EA51E44}"/>
              </c:ext>
            </c:extLst>
          </c:dPt>
          <c:dPt>
            <c:idx val="522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17-B5BE-42E0-A8A2-28161EA51E44}"/>
              </c:ext>
            </c:extLst>
          </c:dPt>
          <c:dPt>
            <c:idx val="523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19-B5BE-42E0-A8A2-28161EA51E44}"/>
              </c:ext>
            </c:extLst>
          </c:dPt>
          <c:dPt>
            <c:idx val="524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1B-B5BE-42E0-A8A2-28161EA51E44}"/>
              </c:ext>
            </c:extLst>
          </c:dPt>
          <c:dPt>
            <c:idx val="525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1D-B5BE-42E0-A8A2-28161EA51E44}"/>
              </c:ext>
            </c:extLst>
          </c:dPt>
          <c:dPt>
            <c:idx val="526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1F-B5BE-42E0-A8A2-28161EA51E44}"/>
              </c:ext>
            </c:extLst>
          </c:dPt>
          <c:dPt>
            <c:idx val="527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21-B5BE-42E0-A8A2-28161EA51E44}"/>
              </c:ext>
            </c:extLst>
          </c:dPt>
          <c:dPt>
            <c:idx val="528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23-B5BE-42E0-A8A2-28161EA51E44}"/>
              </c:ext>
            </c:extLst>
          </c:dPt>
          <c:dPt>
            <c:idx val="529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25-B5BE-42E0-A8A2-28161EA51E44}"/>
              </c:ext>
            </c:extLst>
          </c:dPt>
          <c:dPt>
            <c:idx val="530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27-B5BE-42E0-A8A2-28161EA51E44}"/>
              </c:ext>
            </c:extLst>
          </c:dPt>
          <c:dPt>
            <c:idx val="531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29-B5BE-42E0-A8A2-28161EA51E44}"/>
              </c:ext>
            </c:extLst>
          </c:dPt>
          <c:dPt>
            <c:idx val="532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2B-B5BE-42E0-A8A2-28161EA51E44}"/>
              </c:ext>
            </c:extLst>
          </c:dPt>
          <c:dPt>
            <c:idx val="533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2D-B5BE-42E0-A8A2-28161EA51E44}"/>
              </c:ext>
            </c:extLst>
          </c:dPt>
          <c:dPt>
            <c:idx val="534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2F-B5BE-42E0-A8A2-28161EA51E44}"/>
              </c:ext>
            </c:extLst>
          </c:dPt>
          <c:dPt>
            <c:idx val="535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31-B5BE-42E0-A8A2-28161EA51E44}"/>
              </c:ext>
            </c:extLst>
          </c:dPt>
          <c:dPt>
            <c:idx val="536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33-B5BE-42E0-A8A2-28161EA51E44}"/>
              </c:ext>
            </c:extLst>
          </c:dPt>
          <c:dPt>
            <c:idx val="537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35-B5BE-42E0-A8A2-28161EA51E44}"/>
              </c:ext>
            </c:extLst>
          </c:dPt>
          <c:dPt>
            <c:idx val="538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37-B5BE-42E0-A8A2-28161EA51E44}"/>
              </c:ext>
            </c:extLst>
          </c:dPt>
          <c:dPt>
            <c:idx val="539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39-B5BE-42E0-A8A2-28161EA51E44}"/>
              </c:ext>
            </c:extLst>
          </c:dPt>
          <c:dPt>
            <c:idx val="54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3B-B5BE-42E0-A8A2-28161EA51E44}"/>
              </c:ext>
            </c:extLst>
          </c:dPt>
          <c:dPt>
            <c:idx val="54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3D-B5BE-42E0-A8A2-28161EA51E44}"/>
              </c:ext>
            </c:extLst>
          </c:dPt>
          <c:dPt>
            <c:idx val="54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3F-B5BE-42E0-A8A2-28161EA51E44}"/>
              </c:ext>
            </c:extLst>
          </c:dPt>
          <c:dPt>
            <c:idx val="54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41-B5BE-42E0-A8A2-28161EA51E44}"/>
              </c:ext>
            </c:extLst>
          </c:dPt>
          <c:dPt>
            <c:idx val="54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43-B5BE-42E0-A8A2-28161EA51E44}"/>
              </c:ext>
            </c:extLst>
          </c:dPt>
          <c:dPt>
            <c:idx val="54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45-B5BE-42E0-A8A2-28161EA51E44}"/>
              </c:ext>
            </c:extLst>
          </c:dPt>
          <c:dPt>
            <c:idx val="54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47-B5BE-42E0-A8A2-28161EA51E44}"/>
              </c:ext>
            </c:extLst>
          </c:dPt>
          <c:dPt>
            <c:idx val="547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49-B5BE-42E0-A8A2-28161EA51E44}"/>
              </c:ext>
            </c:extLst>
          </c:dPt>
          <c:dPt>
            <c:idx val="548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4B-B5BE-42E0-A8A2-28161EA51E44}"/>
              </c:ext>
            </c:extLst>
          </c:dPt>
          <c:dPt>
            <c:idx val="549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4D-B5BE-42E0-A8A2-28161EA51E44}"/>
              </c:ext>
            </c:extLst>
          </c:dPt>
          <c:dPt>
            <c:idx val="550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4F-B5BE-42E0-A8A2-28161EA51E44}"/>
              </c:ext>
            </c:extLst>
          </c:dPt>
          <c:dPt>
            <c:idx val="551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51-B5BE-42E0-A8A2-28161EA51E44}"/>
              </c:ext>
            </c:extLst>
          </c:dPt>
          <c:dPt>
            <c:idx val="55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53-B5BE-42E0-A8A2-28161EA51E44}"/>
              </c:ext>
            </c:extLst>
          </c:dPt>
          <c:dPt>
            <c:idx val="55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55-B5BE-42E0-A8A2-28161EA51E44}"/>
              </c:ext>
            </c:extLst>
          </c:dPt>
          <c:dPt>
            <c:idx val="55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57-B5BE-42E0-A8A2-28161EA51E44}"/>
              </c:ext>
            </c:extLst>
          </c:dPt>
          <c:dPt>
            <c:idx val="55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59-B5BE-42E0-A8A2-28161EA51E44}"/>
              </c:ext>
            </c:extLst>
          </c:dPt>
          <c:dPt>
            <c:idx val="55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5B-B5BE-42E0-A8A2-28161EA51E44}"/>
              </c:ext>
            </c:extLst>
          </c:dPt>
          <c:dPt>
            <c:idx val="55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5D-B5BE-42E0-A8A2-28161EA51E44}"/>
              </c:ext>
            </c:extLst>
          </c:dPt>
          <c:dPt>
            <c:idx val="558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5F-B5BE-42E0-A8A2-28161EA51E44}"/>
              </c:ext>
            </c:extLst>
          </c:dPt>
          <c:dPt>
            <c:idx val="559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61-B5BE-42E0-A8A2-28161EA51E44}"/>
              </c:ext>
            </c:extLst>
          </c:dPt>
          <c:dPt>
            <c:idx val="560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63-B5BE-42E0-A8A2-28161EA51E44}"/>
              </c:ext>
            </c:extLst>
          </c:dPt>
          <c:dPt>
            <c:idx val="561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65-B5BE-42E0-A8A2-28161EA51E44}"/>
              </c:ext>
            </c:extLst>
          </c:dPt>
          <c:dPt>
            <c:idx val="562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67-B5BE-42E0-A8A2-28161EA51E44}"/>
              </c:ext>
            </c:extLst>
          </c:dPt>
          <c:dPt>
            <c:idx val="563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69-B5BE-42E0-A8A2-28161EA51E44}"/>
              </c:ext>
            </c:extLst>
          </c:dPt>
          <c:dPt>
            <c:idx val="56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6B-B5BE-42E0-A8A2-28161EA51E44}"/>
              </c:ext>
            </c:extLst>
          </c:dPt>
          <c:dPt>
            <c:idx val="56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6D-B5BE-42E0-A8A2-28161EA51E44}"/>
              </c:ext>
            </c:extLst>
          </c:dPt>
          <c:dPt>
            <c:idx val="56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6F-B5BE-42E0-A8A2-28161EA51E44}"/>
              </c:ext>
            </c:extLst>
          </c:dPt>
          <c:dPt>
            <c:idx val="56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71-B5BE-42E0-A8A2-28161EA51E44}"/>
              </c:ext>
            </c:extLst>
          </c:dPt>
          <c:dPt>
            <c:idx val="568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73-B5BE-42E0-A8A2-28161EA51E44}"/>
              </c:ext>
            </c:extLst>
          </c:dPt>
          <c:dPt>
            <c:idx val="569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75-B5BE-42E0-A8A2-28161EA51E44}"/>
              </c:ext>
            </c:extLst>
          </c:dPt>
          <c:dPt>
            <c:idx val="570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77-B5BE-42E0-A8A2-28161EA51E44}"/>
              </c:ext>
            </c:extLst>
          </c:dPt>
          <c:dPt>
            <c:idx val="571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79-B5BE-42E0-A8A2-28161EA51E44}"/>
              </c:ext>
            </c:extLst>
          </c:dPt>
          <c:dPt>
            <c:idx val="572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7B-B5BE-42E0-A8A2-28161EA51E44}"/>
              </c:ext>
            </c:extLst>
          </c:dPt>
          <c:dPt>
            <c:idx val="573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7D-B5BE-42E0-A8A2-28161EA51E44}"/>
              </c:ext>
            </c:extLst>
          </c:dPt>
          <c:dPt>
            <c:idx val="574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7F-B5BE-42E0-A8A2-28161EA51E44}"/>
              </c:ext>
            </c:extLst>
          </c:dPt>
          <c:dPt>
            <c:idx val="575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81-B5BE-42E0-A8A2-28161EA51E44}"/>
              </c:ext>
            </c:extLst>
          </c:dPt>
          <c:dPt>
            <c:idx val="576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83-B5BE-42E0-A8A2-28161EA51E44}"/>
              </c:ext>
            </c:extLst>
          </c:dPt>
          <c:dPt>
            <c:idx val="577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85-B5BE-42E0-A8A2-28161EA51E44}"/>
              </c:ext>
            </c:extLst>
          </c:dPt>
          <c:dPt>
            <c:idx val="578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87-B5BE-42E0-A8A2-28161EA51E44}"/>
              </c:ext>
            </c:extLst>
          </c:dPt>
          <c:dPt>
            <c:idx val="579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89-B5BE-42E0-A8A2-28161EA51E44}"/>
              </c:ext>
            </c:extLst>
          </c:dPt>
          <c:dPt>
            <c:idx val="580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8B-B5BE-42E0-A8A2-28161EA51E44}"/>
              </c:ext>
            </c:extLst>
          </c:dPt>
          <c:dPt>
            <c:idx val="581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8D-B5BE-42E0-A8A2-28161EA51E44}"/>
              </c:ext>
            </c:extLst>
          </c:dPt>
          <c:dPt>
            <c:idx val="582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8F-B5BE-42E0-A8A2-28161EA51E44}"/>
              </c:ext>
            </c:extLst>
          </c:dPt>
          <c:dPt>
            <c:idx val="583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91-B5BE-42E0-A8A2-28161EA51E44}"/>
              </c:ext>
            </c:extLst>
          </c:dPt>
          <c:dPt>
            <c:idx val="584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93-B5BE-42E0-A8A2-28161EA51E44}"/>
              </c:ext>
            </c:extLst>
          </c:dPt>
          <c:dPt>
            <c:idx val="585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95-B5BE-42E0-A8A2-28161EA51E44}"/>
              </c:ext>
            </c:extLst>
          </c:dPt>
          <c:dPt>
            <c:idx val="586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97-B5BE-42E0-A8A2-28161EA51E44}"/>
              </c:ext>
            </c:extLst>
          </c:dPt>
          <c:dPt>
            <c:idx val="587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99-B5BE-42E0-A8A2-28161EA51E44}"/>
              </c:ext>
            </c:extLst>
          </c:dPt>
          <c:dPt>
            <c:idx val="588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9B-B5BE-42E0-A8A2-28161EA51E44}"/>
              </c:ext>
            </c:extLst>
          </c:dPt>
          <c:dPt>
            <c:idx val="589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9D-B5BE-42E0-A8A2-28161EA51E44}"/>
              </c:ext>
            </c:extLst>
          </c:dPt>
          <c:dPt>
            <c:idx val="590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9F-B5BE-42E0-A8A2-28161EA51E44}"/>
              </c:ext>
            </c:extLst>
          </c:dPt>
          <c:dPt>
            <c:idx val="591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A1-B5BE-42E0-A8A2-28161EA51E44}"/>
              </c:ext>
            </c:extLst>
          </c:dPt>
          <c:dPt>
            <c:idx val="592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A3-B5BE-42E0-A8A2-28161EA51E44}"/>
              </c:ext>
            </c:extLst>
          </c:dPt>
          <c:dPt>
            <c:idx val="593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A5-B5BE-42E0-A8A2-28161EA51E44}"/>
              </c:ext>
            </c:extLst>
          </c:dPt>
          <c:dPt>
            <c:idx val="594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A7-B5BE-42E0-A8A2-28161EA51E44}"/>
              </c:ext>
            </c:extLst>
          </c:dPt>
          <c:dPt>
            <c:idx val="595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A9-B5BE-42E0-A8A2-28161EA51E44}"/>
              </c:ext>
            </c:extLst>
          </c:dPt>
          <c:dPt>
            <c:idx val="596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AB-B5BE-42E0-A8A2-28161EA51E44}"/>
              </c:ext>
            </c:extLst>
          </c:dPt>
          <c:dPt>
            <c:idx val="597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AD-B5BE-42E0-A8A2-28161EA51E44}"/>
              </c:ext>
            </c:extLst>
          </c:dPt>
          <c:dPt>
            <c:idx val="598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AF-B5BE-42E0-A8A2-28161EA51E44}"/>
              </c:ext>
            </c:extLst>
          </c:dPt>
          <c:dPt>
            <c:idx val="599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B1-B5BE-42E0-A8A2-28161EA51E44}"/>
              </c:ext>
            </c:extLst>
          </c:dPt>
          <c:dPt>
            <c:idx val="600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B3-B5BE-42E0-A8A2-28161EA51E44}"/>
              </c:ext>
            </c:extLst>
          </c:dPt>
          <c:dPt>
            <c:idx val="601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B5-B5BE-42E0-A8A2-28161EA51E44}"/>
              </c:ext>
            </c:extLst>
          </c:dPt>
          <c:dPt>
            <c:idx val="602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B7-B5BE-42E0-A8A2-28161EA51E44}"/>
              </c:ext>
            </c:extLst>
          </c:dPt>
          <c:dPt>
            <c:idx val="603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B9-B5BE-42E0-A8A2-28161EA51E44}"/>
              </c:ext>
            </c:extLst>
          </c:dPt>
          <c:dPt>
            <c:idx val="604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BB-B5BE-42E0-A8A2-28161EA51E44}"/>
              </c:ext>
            </c:extLst>
          </c:dPt>
          <c:dPt>
            <c:idx val="605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BD-B5BE-42E0-A8A2-28161EA51E44}"/>
              </c:ext>
            </c:extLst>
          </c:dPt>
          <c:dPt>
            <c:idx val="606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BF-B5BE-42E0-A8A2-28161EA51E44}"/>
              </c:ext>
            </c:extLst>
          </c:dPt>
          <c:dPt>
            <c:idx val="607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C1-B5BE-42E0-A8A2-28161EA51E44}"/>
              </c:ext>
            </c:extLst>
          </c:dPt>
          <c:dPt>
            <c:idx val="608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C3-B5BE-42E0-A8A2-28161EA51E44}"/>
              </c:ext>
            </c:extLst>
          </c:dPt>
          <c:dPt>
            <c:idx val="609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C5-B5BE-42E0-A8A2-28161EA51E44}"/>
              </c:ext>
            </c:extLst>
          </c:dPt>
          <c:dPt>
            <c:idx val="610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C7-B5BE-42E0-A8A2-28161EA51E44}"/>
              </c:ext>
            </c:extLst>
          </c:dPt>
          <c:dPt>
            <c:idx val="611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C9-B5BE-42E0-A8A2-28161EA51E44}"/>
              </c:ext>
            </c:extLst>
          </c:dPt>
          <c:dPt>
            <c:idx val="612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CB-B5BE-42E0-A8A2-28161EA51E44}"/>
              </c:ext>
            </c:extLst>
          </c:dPt>
          <c:dPt>
            <c:idx val="613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CD-B5BE-42E0-A8A2-28161EA51E44}"/>
              </c:ext>
            </c:extLst>
          </c:dPt>
          <c:dPt>
            <c:idx val="614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CF-B5BE-42E0-A8A2-28161EA51E44}"/>
              </c:ext>
            </c:extLst>
          </c:dPt>
          <c:dPt>
            <c:idx val="615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D1-B5BE-42E0-A8A2-28161EA51E44}"/>
              </c:ext>
            </c:extLst>
          </c:dPt>
          <c:dPt>
            <c:idx val="616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D3-B5BE-42E0-A8A2-28161EA51E44}"/>
              </c:ext>
            </c:extLst>
          </c:dPt>
          <c:dPt>
            <c:idx val="617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D5-B5BE-42E0-A8A2-28161EA51E44}"/>
              </c:ext>
            </c:extLst>
          </c:dPt>
          <c:dPt>
            <c:idx val="618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D7-B5BE-42E0-A8A2-28161EA51E44}"/>
              </c:ext>
            </c:extLst>
          </c:dPt>
          <c:dPt>
            <c:idx val="619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D9-B5BE-42E0-A8A2-28161EA51E44}"/>
              </c:ext>
            </c:extLst>
          </c:dPt>
          <c:dPt>
            <c:idx val="620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DB-B5BE-42E0-A8A2-28161EA51E44}"/>
              </c:ext>
            </c:extLst>
          </c:dPt>
          <c:dPt>
            <c:idx val="621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DD-B5BE-42E0-A8A2-28161EA51E44}"/>
              </c:ext>
            </c:extLst>
          </c:dPt>
          <c:dPt>
            <c:idx val="622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DF-B5BE-42E0-A8A2-28161EA51E44}"/>
              </c:ext>
            </c:extLst>
          </c:dPt>
          <c:dPt>
            <c:idx val="623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E1-B5BE-42E0-A8A2-28161EA51E44}"/>
              </c:ext>
            </c:extLst>
          </c:dPt>
          <c:dPt>
            <c:idx val="624"/>
            <c:bubble3D val="0"/>
            <c:spPr>
              <a:solidFill>
                <a:srgbClr val="92D050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E3-B5BE-42E0-A8A2-28161EA51E44}"/>
              </c:ext>
            </c:extLst>
          </c:dPt>
          <c:dPt>
            <c:idx val="625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E5-B5BE-42E0-A8A2-28161EA51E44}"/>
              </c:ext>
            </c:extLst>
          </c:dPt>
          <c:dPt>
            <c:idx val="626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E7-B5BE-42E0-A8A2-28161EA51E44}"/>
              </c:ext>
            </c:extLst>
          </c:dPt>
          <c:dPt>
            <c:idx val="627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E9-B5BE-42E0-A8A2-28161EA51E44}"/>
              </c:ext>
            </c:extLst>
          </c:dPt>
          <c:dPt>
            <c:idx val="628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EB-B5BE-42E0-A8A2-28161EA51E44}"/>
              </c:ext>
            </c:extLst>
          </c:dPt>
          <c:dPt>
            <c:idx val="629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ED-B5BE-42E0-A8A2-28161EA51E44}"/>
              </c:ext>
            </c:extLst>
          </c:dPt>
          <c:dPt>
            <c:idx val="630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EF-B5BE-42E0-A8A2-28161EA51E44}"/>
              </c:ext>
            </c:extLst>
          </c:dPt>
          <c:dPt>
            <c:idx val="631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F1-B5BE-42E0-A8A2-28161EA51E44}"/>
              </c:ext>
            </c:extLst>
          </c:dPt>
          <c:dPt>
            <c:idx val="632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F3-B5BE-42E0-A8A2-28161EA51E44}"/>
              </c:ext>
            </c:extLst>
          </c:dPt>
          <c:dPt>
            <c:idx val="633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F5-B5BE-42E0-A8A2-28161EA51E44}"/>
              </c:ext>
            </c:extLst>
          </c:dPt>
          <c:dPt>
            <c:idx val="634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F7-B5BE-42E0-A8A2-28161EA51E44}"/>
              </c:ext>
            </c:extLst>
          </c:dPt>
          <c:dPt>
            <c:idx val="635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F9-B5BE-42E0-A8A2-28161EA51E44}"/>
              </c:ext>
            </c:extLst>
          </c:dPt>
          <c:dPt>
            <c:idx val="636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FB-B5BE-42E0-A8A2-28161EA51E44}"/>
              </c:ext>
            </c:extLst>
          </c:dPt>
          <c:dPt>
            <c:idx val="637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FD-B5BE-42E0-A8A2-28161EA51E44}"/>
              </c:ext>
            </c:extLst>
          </c:dPt>
          <c:dPt>
            <c:idx val="638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FF-B5BE-42E0-A8A2-28161EA51E44}"/>
              </c:ext>
            </c:extLst>
          </c:dPt>
          <c:dPt>
            <c:idx val="639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01-B5BE-42E0-A8A2-28161EA51E44}"/>
              </c:ext>
            </c:extLst>
          </c:dPt>
          <c:dPt>
            <c:idx val="640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03-B5BE-42E0-A8A2-28161EA51E44}"/>
              </c:ext>
            </c:extLst>
          </c:dPt>
          <c:dPt>
            <c:idx val="641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05-B5BE-42E0-A8A2-28161EA51E44}"/>
              </c:ext>
            </c:extLst>
          </c:dPt>
          <c:dPt>
            <c:idx val="642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07-B5BE-42E0-A8A2-28161EA51E44}"/>
              </c:ext>
            </c:extLst>
          </c:dPt>
          <c:dPt>
            <c:idx val="643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09-B5BE-42E0-A8A2-28161EA51E44}"/>
              </c:ext>
            </c:extLst>
          </c:dPt>
          <c:dPt>
            <c:idx val="644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0B-B5BE-42E0-A8A2-28161EA51E44}"/>
              </c:ext>
            </c:extLst>
          </c:dPt>
          <c:dPt>
            <c:idx val="645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0D-B5BE-42E0-A8A2-28161EA51E44}"/>
              </c:ext>
            </c:extLst>
          </c:dPt>
          <c:dPt>
            <c:idx val="646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0F-B5BE-42E0-A8A2-28161EA51E44}"/>
              </c:ext>
            </c:extLst>
          </c:dPt>
          <c:dPt>
            <c:idx val="647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11-B5BE-42E0-A8A2-28161EA51E44}"/>
              </c:ext>
            </c:extLst>
          </c:dPt>
          <c:dPt>
            <c:idx val="648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13-B5BE-42E0-A8A2-28161EA51E44}"/>
              </c:ext>
            </c:extLst>
          </c:dPt>
          <c:dPt>
            <c:idx val="649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15-B5BE-42E0-A8A2-28161EA51E44}"/>
              </c:ext>
            </c:extLst>
          </c:dPt>
          <c:dPt>
            <c:idx val="650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17-B5BE-42E0-A8A2-28161EA51E44}"/>
              </c:ext>
            </c:extLst>
          </c:dPt>
          <c:dPt>
            <c:idx val="651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19-B5BE-42E0-A8A2-28161EA51E44}"/>
              </c:ext>
            </c:extLst>
          </c:dPt>
          <c:dPt>
            <c:idx val="652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1B-B5BE-42E0-A8A2-28161EA51E44}"/>
              </c:ext>
            </c:extLst>
          </c:dPt>
          <c:dPt>
            <c:idx val="653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1D-B5BE-42E0-A8A2-28161EA51E44}"/>
              </c:ext>
            </c:extLst>
          </c:dPt>
          <c:dPt>
            <c:idx val="654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1F-B5BE-42E0-A8A2-28161EA51E44}"/>
              </c:ext>
            </c:extLst>
          </c:dPt>
          <c:dPt>
            <c:idx val="655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21-B5BE-42E0-A8A2-28161EA51E44}"/>
              </c:ext>
            </c:extLst>
          </c:dPt>
          <c:dPt>
            <c:idx val="656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23-B5BE-42E0-A8A2-28161EA51E44}"/>
              </c:ext>
            </c:extLst>
          </c:dPt>
          <c:dPt>
            <c:idx val="657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25-B5BE-42E0-A8A2-28161EA51E44}"/>
              </c:ext>
            </c:extLst>
          </c:dPt>
          <c:dPt>
            <c:idx val="658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27-B5BE-42E0-A8A2-28161EA51E44}"/>
              </c:ext>
            </c:extLst>
          </c:dPt>
          <c:dPt>
            <c:idx val="659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29-B5BE-42E0-A8A2-28161EA51E44}"/>
              </c:ext>
            </c:extLst>
          </c:dPt>
          <c:dPt>
            <c:idx val="660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2B-B5BE-42E0-A8A2-28161EA51E44}"/>
              </c:ext>
            </c:extLst>
          </c:dPt>
          <c:dPt>
            <c:idx val="661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2D-B5BE-42E0-A8A2-28161EA51E44}"/>
              </c:ext>
            </c:extLst>
          </c:dPt>
          <c:dPt>
            <c:idx val="662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2F-B5BE-42E0-A8A2-28161EA51E44}"/>
              </c:ext>
            </c:extLst>
          </c:dPt>
          <c:dPt>
            <c:idx val="663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31-B5BE-42E0-A8A2-28161EA51E44}"/>
              </c:ext>
            </c:extLst>
          </c:dPt>
          <c:dPt>
            <c:idx val="664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33-B5BE-42E0-A8A2-28161EA51E44}"/>
              </c:ext>
            </c:extLst>
          </c:dPt>
          <c:dPt>
            <c:idx val="665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35-B5BE-42E0-A8A2-28161EA51E44}"/>
              </c:ext>
            </c:extLst>
          </c:dPt>
          <c:dPt>
            <c:idx val="666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37-B5BE-42E0-A8A2-28161EA51E44}"/>
              </c:ext>
            </c:extLst>
          </c:dPt>
          <c:dPt>
            <c:idx val="667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39-B5BE-42E0-A8A2-28161EA51E44}"/>
              </c:ext>
            </c:extLst>
          </c:dPt>
          <c:dPt>
            <c:idx val="668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3B-B5BE-42E0-A8A2-28161EA51E44}"/>
              </c:ext>
            </c:extLst>
          </c:dPt>
          <c:dPt>
            <c:idx val="669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3D-B5BE-42E0-A8A2-28161EA51E44}"/>
              </c:ext>
            </c:extLst>
          </c:dPt>
          <c:dPt>
            <c:idx val="670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3F-B5BE-42E0-A8A2-28161EA51E44}"/>
              </c:ext>
            </c:extLst>
          </c:dPt>
          <c:dPt>
            <c:idx val="671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41-B5BE-42E0-A8A2-28161EA51E44}"/>
              </c:ext>
            </c:extLst>
          </c:dPt>
          <c:dPt>
            <c:idx val="672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43-B5BE-42E0-A8A2-28161EA51E44}"/>
              </c:ext>
            </c:extLst>
          </c:dPt>
          <c:dPt>
            <c:idx val="673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45-B5BE-42E0-A8A2-28161EA51E44}"/>
              </c:ext>
            </c:extLst>
          </c:dPt>
          <c:dPt>
            <c:idx val="674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47-B5BE-42E0-A8A2-28161EA51E44}"/>
              </c:ext>
            </c:extLst>
          </c:dPt>
          <c:dPt>
            <c:idx val="675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49-B5BE-42E0-A8A2-28161EA51E44}"/>
              </c:ext>
            </c:extLst>
          </c:dPt>
          <c:dPt>
            <c:idx val="676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4B-B5BE-42E0-A8A2-28161EA51E44}"/>
              </c:ext>
            </c:extLst>
          </c:dPt>
          <c:dPt>
            <c:idx val="677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4D-B5BE-42E0-A8A2-28161EA51E44}"/>
              </c:ext>
            </c:extLst>
          </c:dPt>
          <c:dPt>
            <c:idx val="678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4F-B5BE-42E0-A8A2-28161EA51E44}"/>
              </c:ext>
            </c:extLst>
          </c:dPt>
          <c:dPt>
            <c:idx val="679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51-B5BE-42E0-A8A2-28161EA51E44}"/>
              </c:ext>
            </c:extLst>
          </c:dPt>
          <c:dPt>
            <c:idx val="680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53-B5BE-42E0-A8A2-28161EA51E44}"/>
              </c:ext>
            </c:extLst>
          </c:dPt>
          <c:dPt>
            <c:idx val="681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55-B5BE-42E0-A8A2-28161EA51E44}"/>
              </c:ext>
            </c:extLst>
          </c:dPt>
          <c:dPt>
            <c:idx val="682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57-B5BE-42E0-A8A2-28161EA51E44}"/>
              </c:ext>
            </c:extLst>
          </c:dPt>
          <c:dPt>
            <c:idx val="683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59-B5BE-42E0-A8A2-28161EA51E44}"/>
              </c:ext>
            </c:extLst>
          </c:dPt>
          <c:dPt>
            <c:idx val="684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5B-B5BE-42E0-A8A2-28161EA51E44}"/>
              </c:ext>
            </c:extLst>
          </c:dPt>
          <c:dPt>
            <c:idx val="685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5D-B5BE-42E0-A8A2-28161EA51E44}"/>
              </c:ext>
            </c:extLst>
          </c:dPt>
          <c:dPt>
            <c:idx val="686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5F-B5BE-42E0-A8A2-28161EA51E44}"/>
              </c:ext>
            </c:extLst>
          </c:dPt>
          <c:dPt>
            <c:idx val="687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61-B5BE-42E0-A8A2-28161EA51E44}"/>
              </c:ext>
            </c:extLst>
          </c:dPt>
          <c:dPt>
            <c:idx val="688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63-B5BE-42E0-A8A2-28161EA51E44}"/>
              </c:ext>
            </c:extLst>
          </c:dPt>
          <c:dPt>
            <c:idx val="689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65-B5BE-42E0-A8A2-28161EA51E44}"/>
              </c:ext>
            </c:extLst>
          </c:dPt>
          <c:dPt>
            <c:idx val="690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67-B5BE-42E0-A8A2-28161EA51E44}"/>
              </c:ext>
            </c:extLst>
          </c:dPt>
          <c:dPt>
            <c:idx val="691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69-B5BE-42E0-A8A2-28161EA51E44}"/>
              </c:ext>
            </c:extLst>
          </c:dPt>
          <c:dPt>
            <c:idx val="692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6B-B5BE-42E0-A8A2-28161EA51E44}"/>
              </c:ext>
            </c:extLst>
          </c:dPt>
          <c:dPt>
            <c:idx val="693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6D-B5BE-42E0-A8A2-28161EA51E44}"/>
              </c:ext>
            </c:extLst>
          </c:dPt>
          <c:dPt>
            <c:idx val="694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6F-B5BE-42E0-A8A2-28161EA51E44}"/>
              </c:ext>
            </c:extLst>
          </c:dPt>
          <c:dPt>
            <c:idx val="695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71-B5BE-42E0-A8A2-28161EA51E44}"/>
              </c:ext>
            </c:extLst>
          </c:dPt>
          <c:dPt>
            <c:idx val="696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73-B5BE-42E0-A8A2-28161EA51E44}"/>
              </c:ext>
            </c:extLst>
          </c:dPt>
          <c:dPt>
            <c:idx val="697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75-B5BE-42E0-A8A2-28161EA51E44}"/>
              </c:ext>
            </c:extLst>
          </c:dPt>
          <c:dPt>
            <c:idx val="698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77-B5BE-42E0-A8A2-28161EA51E44}"/>
              </c:ext>
            </c:extLst>
          </c:dPt>
          <c:dPt>
            <c:idx val="699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79-B5BE-42E0-A8A2-28161EA51E44}"/>
              </c:ext>
            </c:extLst>
          </c:dPt>
          <c:dPt>
            <c:idx val="700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7B-B5BE-42E0-A8A2-28161EA51E44}"/>
              </c:ext>
            </c:extLst>
          </c:dPt>
          <c:dPt>
            <c:idx val="701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7D-B5BE-42E0-A8A2-28161EA51E44}"/>
              </c:ext>
            </c:extLst>
          </c:dPt>
          <c:dPt>
            <c:idx val="702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7F-B5BE-42E0-A8A2-28161EA51E44}"/>
              </c:ext>
            </c:extLst>
          </c:dPt>
          <c:dPt>
            <c:idx val="703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81-B5BE-42E0-A8A2-28161EA51E44}"/>
              </c:ext>
            </c:extLst>
          </c:dPt>
          <c:dPt>
            <c:idx val="704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83-B5BE-42E0-A8A2-28161EA51E44}"/>
              </c:ext>
            </c:extLst>
          </c:dPt>
          <c:dPt>
            <c:idx val="705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85-B5BE-42E0-A8A2-28161EA51E44}"/>
              </c:ext>
            </c:extLst>
          </c:dPt>
          <c:dPt>
            <c:idx val="706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87-B5BE-42E0-A8A2-28161EA51E44}"/>
              </c:ext>
            </c:extLst>
          </c:dPt>
          <c:dPt>
            <c:idx val="707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89-B5BE-42E0-A8A2-28161EA51E44}"/>
              </c:ext>
            </c:extLst>
          </c:dPt>
          <c:dPt>
            <c:idx val="708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8B-B5BE-42E0-A8A2-28161EA51E44}"/>
              </c:ext>
            </c:extLst>
          </c:dPt>
          <c:dPt>
            <c:idx val="709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8D-B5BE-42E0-A8A2-28161EA51E44}"/>
              </c:ext>
            </c:extLst>
          </c:dPt>
          <c:dPt>
            <c:idx val="710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8F-B5BE-42E0-A8A2-28161EA51E44}"/>
              </c:ext>
            </c:extLst>
          </c:dPt>
          <c:dPt>
            <c:idx val="711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91-B5BE-42E0-A8A2-28161EA51E44}"/>
              </c:ext>
            </c:extLst>
          </c:dPt>
          <c:dPt>
            <c:idx val="712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93-B5BE-42E0-A8A2-28161EA51E44}"/>
              </c:ext>
            </c:extLst>
          </c:dPt>
          <c:dPt>
            <c:idx val="713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95-B5BE-42E0-A8A2-28161EA51E44}"/>
              </c:ext>
            </c:extLst>
          </c:dPt>
          <c:dPt>
            <c:idx val="714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97-B5BE-42E0-A8A2-28161EA51E44}"/>
              </c:ext>
            </c:extLst>
          </c:dPt>
          <c:dPt>
            <c:idx val="715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99-B5BE-42E0-A8A2-28161EA51E44}"/>
              </c:ext>
            </c:extLst>
          </c:dPt>
          <c:dPt>
            <c:idx val="716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9B-B5BE-42E0-A8A2-28161EA51E44}"/>
              </c:ext>
            </c:extLst>
          </c:dPt>
          <c:dPt>
            <c:idx val="717"/>
            <c:bubble3D val="0"/>
            <c:spPr>
              <a:solidFill>
                <a:srgbClr val="08E61D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9D-B5BE-42E0-A8A2-28161EA51E44}"/>
              </c:ext>
            </c:extLst>
          </c:dPt>
          <c:dPt>
            <c:idx val="718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9F-B5BE-42E0-A8A2-28161EA51E44}"/>
              </c:ext>
            </c:extLst>
          </c:dPt>
          <c:dPt>
            <c:idx val="719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A1-B5BE-42E0-A8A2-28161EA51E44}"/>
              </c:ext>
            </c:extLst>
          </c:dPt>
          <c:dPt>
            <c:idx val="720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A3-B5BE-42E0-A8A2-28161EA51E44}"/>
              </c:ext>
            </c:extLst>
          </c:dPt>
          <c:dPt>
            <c:idx val="721"/>
            <c:bubble3D val="0"/>
            <c:spPr>
              <a:solidFill>
                <a:schemeClr val="accent4">
                  <a:lumMod val="40000"/>
                  <a:lumOff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A5-B5BE-42E0-A8A2-28161EA51E44}"/>
              </c:ext>
            </c:extLst>
          </c:dPt>
          <c:dPt>
            <c:idx val="722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A7-B5BE-42E0-A8A2-28161EA51E44}"/>
              </c:ext>
            </c:extLst>
          </c:dPt>
          <c:dPt>
            <c:idx val="723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A9-B5BE-42E0-A8A2-28161EA51E44}"/>
              </c:ext>
            </c:extLst>
          </c:dPt>
          <c:dPt>
            <c:idx val="724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AB-B5BE-42E0-A8A2-28161EA51E44}"/>
              </c:ext>
            </c:extLst>
          </c:dPt>
          <c:dPt>
            <c:idx val="725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AD-B5BE-42E0-A8A2-28161EA51E44}"/>
              </c:ext>
            </c:extLst>
          </c:dPt>
          <c:dPt>
            <c:idx val="726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AF-B5BE-42E0-A8A2-28161EA51E44}"/>
              </c:ext>
            </c:extLst>
          </c:dPt>
          <c:dPt>
            <c:idx val="727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B1-B5BE-42E0-A8A2-28161EA51E44}"/>
              </c:ext>
            </c:extLst>
          </c:dPt>
          <c:dPt>
            <c:idx val="728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B3-B5BE-42E0-A8A2-28161EA51E44}"/>
              </c:ext>
            </c:extLst>
          </c:dPt>
          <c:dPt>
            <c:idx val="729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B5-B5BE-42E0-A8A2-28161EA51E44}"/>
              </c:ext>
            </c:extLst>
          </c:dPt>
          <c:dPt>
            <c:idx val="730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B7-B5BE-42E0-A8A2-28161EA51E44}"/>
              </c:ext>
            </c:extLst>
          </c:dPt>
          <c:dPt>
            <c:idx val="731"/>
            <c:bubble3D val="0"/>
            <c:spPr>
              <a:solidFill>
                <a:srgbClr val="FF0066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B9-B5BE-42E0-A8A2-28161EA51E44}"/>
              </c:ext>
            </c:extLst>
          </c:dPt>
          <c:dPt>
            <c:idx val="732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BB-B5BE-42E0-A8A2-28161EA51E44}"/>
              </c:ext>
            </c:extLst>
          </c:dPt>
          <c:dPt>
            <c:idx val="733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BD-B5BE-42E0-A8A2-28161EA51E44}"/>
              </c:ext>
            </c:extLst>
          </c:dPt>
          <c:dPt>
            <c:idx val="734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BF-B5BE-42E0-A8A2-28161EA51E44}"/>
              </c:ext>
            </c:extLst>
          </c:dPt>
          <c:dPt>
            <c:idx val="735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C1-B5BE-42E0-A8A2-28161EA51E44}"/>
              </c:ext>
            </c:extLst>
          </c:dPt>
          <c:dPt>
            <c:idx val="736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C3-B5BE-42E0-A8A2-28161EA51E44}"/>
              </c:ext>
            </c:extLst>
          </c:dPt>
          <c:dPt>
            <c:idx val="737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C5-B5BE-42E0-A8A2-28161EA51E44}"/>
              </c:ext>
            </c:extLst>
          </c:dPt>
          <c:dPt>
            <c:idx val="738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C7-B5BE-42E0-A8A2-28161EA51E44}"/>
              </c:ext>
            </c:extLst>
          </c:dPt>
          <c:dPt>
            <c:idx val="739"/>
            <c:bubble3D val="0"/>
            <c:spPr>
              <a:solidFill>
                <a:srgbClr val="FFFF00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C9-B5BE-42E0-A8A2-28161EA51E44}"/>
              </c:ext>
            </c:extLst>
          </c:dPt>
          <c:dPt>
            <c:idx val="740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CB-B5BE-42E0-A8A2-28161EA51E44}"/>
              </c:ext>
            </c:extLst>
          </c:dPt>
          <c:dPt>
            <c:idx val="741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CD-B5BE-42E0-A8A2-28161EA51E44}"/>
              </c:ext>
            </c:extLst>
          </c:dPt>
          <c:dPt>
            <c:idx val="742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CF-B5BE-42E0-A8A2-28161EA51E44}"/>
              </c:ext>
            </c:extLst>
          </c:dPt>
          <c:dPt>
            <c:idx val="743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D1-B5BE-42E0-A8A2-28161EA51E44}"/>
              </c:ext>
            </c:extLst>
          </c:dPt>
          <c:dPt>
            <c:idx val="744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D3-B5BE-42E0-A8A2-28161EA51E44}"/>
              </c:ext>
            </c:extLst>
          </c:dPt>
          <c:dPt>
            <c:idx val="745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D5-B5BE-42E0-A8A2-28161EA51E44}"/>
              </c:ext>
            </c:extLst>
          </c:dPt>
          <c:dPt>
            <c:idx val="746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D7-B5BE-42E0-A8A2-28161EA51E44}"/>
              </c:ext>
            </c:extLst>
          </c:dPt>
          <c:dPt>
            <c:idx val="747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D9-B5BE-42E0-A8A2-28161EA51E44}"/>
              </c:ext>
            </c:extLst>
          </c:dPt>
          <c:dPt>
            <c:idx val="748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DB-B5BE-42E0-A8A2-28161EA51E44}"/>
              </c:ext>
            </c:extLst>
          </c:dPt>
          <c:dPt>
            <c:idx val="749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DD-B5BE-42E0-A8A2-28161EA51E44}"/>
              </c:ext>
            </c:extLst>
          </c:dPt>
          <c:dPt>
            <c:idx val="750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DF-B5BE-42E0-A8A2-28161EA51E44}"/>
              </c:ext>
            </c:extLst>
          </c:dPt>
          <c:dPt>
            <c:idx val="751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E1-B5BE-42E0-A8A2-28161EA51E44}"/>
              </c:ext>
            </c:extLst>
          </c:dPt>
          <c:dPt>
            <c:idx val="752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E3-B5BE-42E0-A8A2-28161EA51E44}"/>
              </c:ext>
            </c:extLst>
          </c:dPt>
          <c:dPt>
            <c:idx val="753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E5-B5BE-42E0-A8A2-28161EA51E44}"/>
              </c:ext>
            </c:extLst>
          </c:dPt>
          <c:dPt>
            <c:idx val="754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E7-B5BE-42E0-A8A2-28161EA51E44}"/>
              </c:ext>
            </c:extLst>
          </c:dPt>
          <c:dPt>
            <c:idx val="755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E9-B5BE-42E0-A8A2-28161EA51E44}"/>
              </c:ext>
            </c:extLst>
          </c:dPt>
          <c:dPt>
            <c:idx val="756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EB-B5BE-42E0-A8A2-28161EA51E44}"/>
              </c:ext>
            </c:extLst>
          </c:dPt>
          <c:dPt>
            <c:idx val="757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ED-B5BE-42E0-A8A2-28161EA51E44}"/>
              </c:ext>
            </c:extLst>
          </c:dPt>
          <c:dPt>
            <c:idx val="758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EF-B5BE-42E0-A8A2-28161EA51E44}"/>
              </c:ext>
            </c:extLst>
          </c:dPt>
          <c:dPt>
            <c:idx val="759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F1-B5BE-42E0-A8A2-28161EA51E44}"/>
              </c:ext>
            </c:extLst>
          </c:dPt>
          <c:dPt>
            <c:idx val="760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F3-B5BE-42E0-A8A2-28161EA51E44}"/>
              </c:ext>
            </c:extLst>
          </c:dPt>
          <c:dPt>
            <c:idx val="761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F5-B5BE-42E0-A8A2-28161EA51E44}"/>
              </c:ext>
            </c:extLst>
          </c:dPt>
          <c:dPt>
            <c:idx val="762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F7-B5BE-42E0-A8A2-28161EA51E44}"/>
              </c:ext>
            </c:extLst>
          </c:dPt>
          <c:dPt>
            <c:idx val="763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F9-B5BE-42E0-A8A2-28161EA51E44}"/>
              </c:ext>
            </c:extLst>
          </c:dPt>
          <c:dPt>
            <c:idx val="764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FB-B5BE-42E0-A8A2-28161EA51E44}"/>
              </c:ext>
            </c:extLst>
          </c:dPt>
          <c:dPt>
            <c:idx val="765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FD-B5BE-42E0-A8A2-28161EA51E44}"/>
              </c:ext>
            </c:extLst>
          </c:dPt>
          <c:dPt>
            <c:idx val="766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FF-B5BE-42E0-A8A2-28161EA51E44}"/>
              </c:ext>
            </c:extLst>
          </c:dPt>
          <c:dPt>
            <c:idx val="767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01-B5BE-42E0-A8A2-28161EA51E44}"/>
              </c:ext>
            </c:extLst>
          </c:dPt>
          <c:dPt>
            <c:idx val="768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03-B5BE-42E0-A8A2-28161EA51E44}"/>
              </c:ext>
            </c:extLst>
          </c:dPt>
          <c:dPt>
            <c:idx val="769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05-B5BE-42E0-A8A2-28161EA51E44}"/>
              </c:ext>
            </c:extLst>
          </c:dPt>
          <c:dPt>
            <c:idx val="770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07-B5BE-42E0-A8A2-28161EA51E44}"/>
              </c:ext>
            </c:extLst>
          </c:dPt>
          <c:dPt>
            <c:idx val="771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09-B5BE-42E0-A8A2-28161EA51E44}"/>
              </c:ext>
            </c:extLst>
          </c:dPt>
          <c:dPt>
            <c:idx val="772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0B-B5BE-42E0-A8A2-28161EA51E44}"/>
              </c:ext>
            </c:extLst>
          </c:dPt>
          <c:dPt>
            <c:idx val="773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0D-B5BE-42E0-A8A2-28161EA51E44}"/>
              </c:ext>
            </c:extLst>
          </c:dPt>
          <c:dPt>
            <c:idx val="774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0F-B5BE-42E0-A8A2-28161EA51E44}"/>
              </c:ext>
            </c:extLst>
          </c:dPt>
          <c:dPt>
            <c:idx val="775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11-B5BE-42E0-A8A2-28161EA51E44}"/>
              </c:ext>
            </c:extLst>
          </c:dPt>
          <c:dPt>
            <c:idx val="776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13-B5BE-42E0-A8A2-28161EA51E44}"/>
              </c:ext>
            </c:extLst>
          </c:dPt>
          <c:dPt>
            <c:idx val="777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15-B5BE-42E0-A8A2-28161EA51E44}"/>
              </c:ext>
            </c:extLst>
          </c:dPt>
          <c:dPt>
            <c:idx val="778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17-B5BE-42E0-A8A2-28161EA51E44}"/>
              </c:ext>
            </c:extLst>
          </c:dPt>
          <c:dPt>
            <c:idx val="779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19-B5BE-42E0-A8A2-28161EA51E44}"/>
              </c:ext>
            </c:extLst>
          </c:dPt>
          <c:dPt>
            <c:idx val="780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1B-B5BE-42E0-A8A2-28161EA51E44}"/>
              </c:ext>
            </c:extLst>
          </c:dPt>
          <c:dPt>
            <c:idx val="781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1D-B5BE-42E0-A8A2-28161EA51E44}"/>
              </c:ext>
            </c:extLst>
          </c:dPt>
          <c:dPt>
            <c:idx val="782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1F-B5BE-42E0-A8A2-28161EA51E44}"/>
              </c:ext>
            </c:extLst>
          </c:dPt>
          <c:dPt>
            <c:idx val="783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21-B5BE-42E0-A8A2-28161EA51E44}"/>
              </c:ext>
            </c:extLst>
          </c:dPt>
          <c:dPt>
            <c:idx val="784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23-B5BE-42E0-A8A2-28161EA51E44}"/>
              </c:ext>
            </c:extLst>
          </c:dPt>
          <c:dPt>
            <c:idx val="785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25-B5BE-42E0-A8A2-28161EA51E44}"/>
              </c:ext>
            </c:extLst>
          </c:dPt>
          <c:dPt>
            <c:idx val="786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27-B5BE-42E0-A8A2-28161EA51E44}"/>
              </c:ext>
            </c:extLst>
          </c:dPt>
          <c:dPt>
            <c:idx val="787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29-B5BE-42E0-A8A2-28161EA51E44}"/>
              </c:ext>
            </c:extLst>
          </c:dPt>
          <c:dPt>
            <c:idx val="788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2B-B5BE-42E0-A8A2-28161EA51E44}"/>
              </c:ext>
            </c:extLst>
          </c:dPt>
          <c:dPt>
            <c:idx val="789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2D-B5BE-42E0-A8A2-28161EA51E44}"/>
              </c:ext>
            </c:extLst>
          </c:dPt>
          <c:dPt>
            <c:idx val="790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2F-B5BE-42E0-A8A2-28161EA51E44}"/>
              </c:ext>
            </c:extLst>
          </c:dPt>
          <c:dPt>
            <c:idx val="791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31-B5BE-42E0-A8A2-28161EA51E44}"/>
              </c:ext>
            </c:extLst>
          </c:dPt>
          <c:dPt>
            <c:idx val="792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33-B5BE-42E0-A8A2-28161EA51E44}"/>
              </c:ext>
            </c:extLst>
          </c:dPt>
          <c:dPt>
            <c:idx val="793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35-B5BE-42E0-A8A2-28161EA51E44}"/>
              </c:ext>
            </c:extLst>
          </c:dPt>
          <c:dPt>
            <c:idx val="794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37-B5BE-42E0-A8A2-28161EA51E44}"/>
              </c:ext>
            </c:extLst>
          </c:dPt>
          <c:dPt>
            <c:idx val="795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39-B5BE-42E0-A8A2-28161EA51E44}"/>
              </c:ext>
            </c:extLst>
          </c:dPt>
          <c:dPt>
            <c:idx val="796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3B-B5BE-42E0-A8A2-28161EA51E44}"/>
              </c:ext>
            </c:extLst>
          </c:dPt>
          <c:dPt>
            <c:idx val="797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3D-B5BE-42E0-A8A2-28161EA51E44}"/>
              </c:ext>
            </c:extLst>
          </c:dPt>
          <c:dPt>
            <c:idx val="798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3F-B5BE-42E0-A8A2-28161EA51E44}"/>
              </c:ext>
            </c:extLst>
          </c:dPt>
          <c:dPt>
            <c:idx val="799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41-B5BE-42E0-A8A2-28161EA51E44}"/>
              </c:ext>
            </c:extLst>
          </c:dPt>
          <c:dPt>
            <c:idx val="800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43-B5BE-42E0-A8A2-28161EA51E44}"/>
              </c:ext>
            </c:extLst>
          </c:dPt>
          <c:dPt>
            <c:idx val="801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45-B5BE-42E0-A8A2-28161EA51E44}"/>
              </c:ext>
            </c:extLst>
          </c:dPt>
          <c:dPt>
            <c:idx val="802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47-B5BE-42E0-A8A2-28161EA51E44}"/>
              </c:ext>
            </c:extLst>
          </c:dPt>
          <c:dPt>
            <c:idx val="803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49-B5BE-42E0-A8A2-28161EA51E44}"/>
              </c:ext>
            </c:extLst>
          </c:dPt>
          <c:dPt>
            <c:idx val="804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4B-B5BE-42E0-A8A2-28161EA51E44}"/>
              </c:ext>
            </c:extLst>
          </c:dPt>
          <c:dPt>
            <c:idx val="805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4D-B5BE-42E0-A8A2-28161EA51E44}"/>
              </c:ext>
            </c:extLst>
          </c:dPt>
          <c:dPt>
            <c:idx val="806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4F-B5BE-42E0-A8A2-28161EA51E44}"/>
              </c:ext>
            </c:extLst>
          </c:dPt>
          <c:dPt>
            <c:idx val="807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51-B5BE-42E0-A8A2-28161EA51E44}"/>
              </c:ext>
            </c:extLst>
          </c:dPt>
          <c:dPt>
            <c:idx val="808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53-B5BE-42E0-A8A2-28161EA51E44}"/>
              </c:ext>
            </c:extLst>
          </c:dPt>
          <c:dPt>
            <c:idx val="809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55-B5BE-42E0-A8A2-28161EA51E44}"/>
              </c:ext>
            </c:extLst>
          </c:dPt>
          <c:dPt>
            <c:idx val="81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57-B5BE-42E0-A8A2-28161EA51E44}"/>
              </c:ext>
            </c:extLst>
          </c:dPt>
          <c:dPt>
            <c:idx val="81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59-B5BE-42E0-A8A2-28161EA51E44}"/>
              </c:ext>
            </c:extLst>
          </c:dPt>
          <c:dPt>
            <c:idx val="81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5B-B5BE-42E0-A8A2-28161EA51E44}"/>
              </c:ext>
            </c:extLst>
          </c:dPt>
          <c:dPt>
            <c:idx val="81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5D-B5BE-42E0-A8A2-28161EA51E44}"/>
              </c:ext>
            </c:extLst>
          </c:dPt>
          <c:dPt>
            <c:idx val="81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5F-B5BE-42E0-A8A2-28161EA51E44}"/>
              </c:ext>
            </c:extLst>
          </c:dPt>
          <c:dPt>
            <c:idx val="81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61-B5BE-42E0-A8A2-28161EA51E44}"/>
              </c:ext>
            </c:extLst>
          </c:dPt>
          <c:dPt>
            <c:idx val="81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63-B5BE-42E0-A8A2-28161EA51E44}"/>
              </c:ext>
            </c:extLst>
          </c:dPt>
          <c:dPt>
            <c:idx val="817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65-B5BE-42E0-A8A2-28161EA51E44}"/>
              </c:ext>
            </c:extLst>
          </c:dPt>
          <c:dPt>
            <c:idx val="818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67-B5BE-42E0-A8A2-28161EA51E44}"/>
              </c:ext>
            </c:extLst>
          </c:dPt>
          <c:dPt>
            <c:idx val="819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69-B5BE-42E0-A8A2-28161EA51E44}"/>
              </c:ext>
            </c:extLst>
          </c:dPt>
          <c:dPt>
            <c:idx val="820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6B-B5BE-42E0-A8A2-28161EA51E44}"/>
              </c:ext>
            </c:extLst>
          </c:dPt>
          <c:dPt>
            <c:idx val="821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6D-B5BE-42E0-A8A2-28161EA51E44}"/>
              </c:ext>
            </c:extLst>
          </c:dPt>
          <c:dPt>
            <c:idx val="82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6F-B5BE-42E0-A8A2-28161EA51E44}"/>
              </c:ext>
            </c:extLst>
          </c:dPt>
          <c:dPt>
            <c:idx val="82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71-B5BE-42E0-A8A2-28161EA51E44}"/>
              </c:ext>
            </c:extLst>
          </c:dPt>
          <c:dPt>
            <c:idx val="82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73-B5BE-42E0-A8A2-28161EA51E44}"/>
              </c:ext>
            </c:extLst>
          </c:dPt>
          <c:dPt>
            <c:idx val="82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75-B5BE-42E0-A8A2-28161EA51E44}"/>
              </c:ext>
            </c:extLst>
          </c:dPt>
          <c:dPt>
            <c:idx val="82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77-B5BE-42E0-A8A2-28161EA51E44}"/>
              </c:ext>
            </c:extLst>
          </c:dPt>
          <c:dPt>
            <c:idx val="82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79-B5BE-42E0-A8A2-28161EA51E44}"/>
              </c:ext>
            </c:extLst>
          </c:dPt>
          <c:dPt>
            <c:idx val="828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7B-B5BE-42E0-A8A2-28161EA51E44}"/>
              </c:ext>
            </c:extLst>
          </c:dPt>
          <c:dPt>
            <c:idx val="829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7D-B5BE-42E0-A8A2-28161EA51E44}"/>
              </c:ext>
            </c:extLst>
          </c:dPt>
          <c:dPt>
            <c:idx val="830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7F-B5BE-42E0-A8A2-28161EA51E44}"/>
              </c:ext>
            </c:extLst>
          </c:dPt>
          <c:dPt>
            <c:idx val="831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81-B5BE-42E0-A8A2-28161EA51E44}"/>
              </c:ext>
            </c:extLst>
          </c:dPt>
          <c:dPt>
            <c:idx val="832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83-B5BE-42E0-A8A2-28161EA51E44}"/>
              </c:ext>
            </c:extLst>
          </c:dPt>
          <c:dPt>
            <c:idx val="833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85-B5BE-42E0-A8A2-28161EA51E44}"/>
              </c:ext>
            </c:extLst>
          </c:dPt>
          <c:dPt>
            <c:idx val="83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87-B5BE-42E0-A8A2-28161EA51E44}"/>
              </c:ext>
            </c:extLst>
          </c:dPt>
          <c:dPt>
            <c:idx val="83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89-B5BE-42E0-A8A2-28161EA51E44}"/>
              </c:ext>
            </c:extLst>
          </c:dPt>
          <c:dPt>
            <c:idx val="83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8B-B5BE-42E0-A8A2-28161EA51E44}"/>
              </c:ext>
            </c:extLst>
          </c:dPt>
          <c:dPt>
            <c:idx val="83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8D-B5BE-42E0-A8A2-28161EA51E44}"/>
              </c:ext>
            </c:extLst>
          </c:dPt>
          <c:dPt>
            <c:idx val="838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8F-B5BE-42E0-A8A2-28161EA51E44}"/>
              </c:ext>
            </c:extLst>
          </c:dPt>
          <c:dPt>
            <c:idx val="839"/>
            <c:bubble3D val="0"/>
            <c:spPr>
              <a:solidFill>
                <a:schemeClr val="accent6">
                  <a:lumMod val="7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91-B5BE-42E0-A8A2-28161EA51E44}"/>
              </c:ext>
            </c:extLst>
          </c:dPt>
          <c:dPt>
            <c:idx val="840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93-B5BE-42E0-A8A2-28161EA51E44}"/>
              </c:ext>
            </c:extLst>
          </c:dPt>
          <c:dPt>
            <c:idx val="841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95-B5BE-42E0-A8A2-28161EA51E44}"/>
              </c:ext>
            </c:extLst>
          </c:dPt>
          <c:dPt>
            <c:idx val="842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97-B5BE-42E0-A8A2-28161EA51E44}"/>
              </c:ext>
            </c:extLst>
          </c:dPt>
          <c:dPt>
            <c:idx val="843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99-B5BE-42E0-A8A2-28161EA51E44}"/>
              </c:ext>
            </c:extLst>
          </c:dPt>
          <c:dPt>
            <c:idx val="844"/>
            <c:bubble3D val="0"/>
            <c:spPr>
              <a:solidFill>
                <a:srgbClr val="00B0F0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9B-B5BE-42E0-A8A2-28161EA51E44}"/>
              </c:ext>
            </c:extLst>
          </c:dPt>
          <c:dPt>
            <c:idx val="845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9D-B5BE-42E0-A8A2-28161EA51E44}"/>
              </c:ext>
            </c:extLst>
          </c:dPt>
          <c:dPt>
            <c:idx val="846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9F-B5BE-42E0-A8A2-28161EA51E44}"/>
              </c:ext>
            </c:extLst>
          </c:dPt>
          <c:dPt>
            <c:idx val="847"/>
            <c:bubble3D val="0"/>
            <c:spPr>
              <a:solidFill>
                <a:schemeClr val="bg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A1-B5BE-42E0-A8A2-28161EA51E44}"/>
              </c:ext>
            </c:extLst>
          </c:dPt>
          <c:dPt>
            <c:idx val="848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A3-B5BE-42E0-A8A2-28161EA51E44}"/>
              </c:ext>
            </c:extLst>
          </c:dPt>
          <c:dPt>
            <c:idx val="849"/>
            <c:bubble3D val="0"/>
            <c:spPr>
              <a:solidFill>
                <a:srgbClr val="FFFF00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A5-B5BE-42E0-A8A2-28161EA51E44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 xmlns:c15="http://schemas.microsoft.com/office/drawing/2012/chart">
              <c:ext xmlns:c15="http://schemas.microsoft.com/office/drawing/2012/chart" uri="{CE6537A1-D6FC-4f65-9D91-7224C49458BB}"/>
            </c:extLst>
          </c:dLbls>
          <c:cat>
            <c:strRef>
              <c:f>('Données '!$C$199,'Données '!$E$199,'Données '!$G$199,'Données '!$I$199,'Données '!$K$199,'Données '!$M$199,'Données '!$O$199)</c:f>
              <c:strCache>
                <c:ptCount val="7"/>
                <c:pt idx="0">
                  <c:v>ESQ ==&gt; APD</c:v>
                </c:pt>
                <c:pt idx="1">
                  <c:v>Fin études/AO</c:v>
                </c:pt>
                <c:pt idx="2">
                  <c:v>OS</c:v>
                </c:pt>
                <c:pt idx="3">
                  <c:v>Travaux</c:v>
                </c:pt>
                <c:pt idx="4">
                  <c:v>GPA</c:v>
                </c:pt>
                <c:pt idx="5">
                  <c:v>Clôture défisc</c:v>
                </c:pt>
                <c:pt idx="6">
                  <c:v>STOP</c:v>
                </c:pt>
              </c:strCache>
            </c:strRef>
          </c:cat>
          <c:val>
            <c:numRef>
              <c:f>('Données '!$C$200,'Données '!$E$200,'Données '!$G$200,'Données '!$I$200,'Données '!$K$200,'Données '!$M$200,'Données '!$O$200)</c:f>
              <c:numCache>
                <c:formatCode>General</c:formatCode>
                <c:ptCount val="7"/>
                <c:pt idx="0">
                  <c:v>2</c:v>
                </c:pt>
                <c:pt idx="1">
                  <c:v>3</c:v>
                </c:pt>
                <c:pt idx="2">
                  <c:v>0</c:v>
                </c:pt>
                <c:pt idx="3">
                  <c:v>2</c:v>
                </c:pt>
                <c:pt idx="4">
                  <c:v>2</c:v>
                </c:pt>
                <c:pt idx="5">
                  <c:v>0</c:v>
                </c:pt>
                <c:pt idx="6">
                  <c:v>0</c:v>
                </c:pt>
              </c:numCache>
              <c:extLst xmlns:c15="http://schemas.microsoft.com/office/drawing/2012/chart"/>
            </c:numRef>
          </c:val>
          <c:extLst xmlns:c15="http://schemas.microsoft.com/office/drawing/2012/chart">
            <c:ext xmlns:c16="http://schemas.microsoft.com/office/drawing/2014/chart" uri="{C3380CC4-5D6E-409C-BE32-E72D297353CC}">
              <c16:uniqueId val="{0000013E-88BA-49B1-9CE7-0FE5B6F55D49}"/>
            </c:ext>
          </c:extLst>
        </c:ser>
        <c:ser>
          <c:idx val="1"/>
          <c:order val="1"/>
          <c:tx>
            <c:strRef>
              <c:f>'Données '!$B$201</c:f>
              <c:strCache>
                <c:ptCount val="1"/>
                <c:pt idx="0">
                  <c:v>DBA</c:v>
                </c:pt>
              </c:strCache>
            </c:strRef>
          </c:tx>
          <c:dPt>
            <c:idx val="0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124B-4672-8516-F6D36DBA4278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124B-4672-8516-F6D36DBA4278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D7B1-482E-B5D5-FCEA5E541D50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7CD8-4A60-A33F-1717A39483F8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9-D7B1-482E-B5D5-FCEA5E541D50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7975-431F-9A40-51ED49C53D54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D-D7B1-482E-B5D5-FCEA5E541D50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9-7CD8-4A60-A33F-1717A39483F8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1-D7B1-482E-B5D5-FCEA5E541D50}"/>
              </c:ext>
            </c:extLst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5DB5-4B66-A3C1-23364AA3A90E}"/>
              </c:ext>
            </c:extLst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5-D7B1-482E-B5D5-FCEA5E541D50}"/>
              </c:ext>
            </c:extLst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D-7CD8-4A60-A33F-1717A39483F8}"/>
              </c:ext>
            </c:extLst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9-7975-431F-9A40-51ED49C53D54}"/>
              </c:ext>
            </c:extLst>
          </c:dPt>
          <c:dPt>
            <c:idx val="1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1-7CD8-4A60-A33F-1717A39483F8}"/>
              </c:ext>
            </c:extLst>
          </c:dPt>
          <c:dPt>
            <c:idx val="1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124B-4672-8516-F6D36DBA4278}"/>
              </c:ext>
            </c:extLst>
          </c:dPt>
          <c:dPt>
            <c:idx val="1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5-7CD8-4A60-A33F-1717A39483F8}"/>
              </c:ext>
            </c:extLst>
          </c:dPt>
          <c:dPt>
            <c:idx val="1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D-7975-431F-9A40-51ED49C53D54}"/>
              </c:ext>
            </c:extLst>
          </c:dPt>
          <c:dPt>
            <c:idx val="1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9-5DB5-4B66-A3C1-23364AA3A90E}"/>
              </c:ext>
            </c:extLst>
          </c:dPt>
          <c:dPt>
            <c:idx val="18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1-7975-431F-9A40-51ED49C53D54}"/>
              </c:ext>
            </c:extLst>
          </c:dPt>
          <c:dPt>
            <c:idx val="19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B-967E-4869-AF23-D06D183DB131}"/>
              </c:ext>
            </c:extLst>
          </c:dPt>
          <c:dPt>
            <c:idx val="20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5-7975-431F-9A40-51ED49C53D54}"/>
              </c:ext>
            </c:extLst>
          </c:dPt>
          <c:dPt>
            <c:idx val="21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B-D8CA-4062-B9F1-ED55E0CBB8C4}"/>
              </c:ext>
            </c:extLst>
          </c:dPt>
          <c:dPt>
            <c:idx val="22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F-967E-4869-AF23-D06D183DB131}"/>
              </c:ext>
            </c:extLst>
          </c:dPt>
          <c:dPt>
            <c:idx val="23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B-5603-4EC2-86D9-B7F372B6410A}"/>
              </c:ext>
            </c:extLst>
          </c:dPt>
          <c:dPt>
            <c:idx val="2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F-D8CA-4062-B9F1-ED55E0CBB8C4}"/>
              </c:ext>
            </c:extLst>
          </c:dPt>
          <c:dPt>
            <c:idx val="2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7-6CAD-46DB-A625-73ECC388534F}"/>
              </c:ext>
            </c:extLst>
          </c:dPt>
          <c:dPt>
            <c:idx val="2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F-5603-4EC2-86D9-B7F372B6410A}"/>
              </c:ext>
            </c:extLst>
          </c:dPt>
          <c:dPt>
            <c:idx val="2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D-5DB5-4B66-A3C1-23364AA3A90E}"/>
              </c:ext>
            </c:extLst>
          </c:dPt>
          <c:dPt>
            <c:idx val="28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7-124B-4672-8516-F6D36DBA4278}"/>
              </c:ext>
            </c:extLst>
          </c:dPt>
          <c:dPt>
            <c:idx val="29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1-5DB5-4B66-A3C1-23364AA3A90E}"/>
              </c:ext>
            </c:extLst>
          </c:dPt>
          <c:dPt>
            <c:idx val="30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B-C46B-4F7B-A9F3-E53E8CB683E4}"/>
              </c:ext>
            </c:extLst>
          </c:dPt>
          <c:dPt>
            <c:idx val="31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5-5DB5-4B66-A3C1-23364AA3A90E}"/>
              </c:ext>
            </c:extLst>
          </c:dPt>
          <c:dPt>
            <c:idx val="32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B-47D9-4560-990E-76275056911A}"/>
              </c:ext>
            </c:extLst>
          </c:dPt>
          <c:dPt>
            <c:idx val="33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F-C46B-4F7B-A9F3-E53E8CB683E4}"/>
              </c:ext>
            </c:extLst>
          </c:dPt>
          <c:dPt>
            <c:idx val="34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B-0685-4E14-B5B6-7420081F0E1C}"/>
              </c:ext>
            </c:extLst>
          </c:dPt>
          <c:dPt>
            <c:idx val="35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F-47D9-4560-990E-76275056911A}"/>
              </c:ext>
            </c:extLst>
          </c:dPt>
          <c:dPt>
            <c:idx val="36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B-DB42-4AEF-88D0-E80D423E92EB}"/>
              </c:ext>
            </c:extLst>
          </c:dPt>
          <c:dPt>
            <c:idx val="37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F-0685-4E14-B5B6-7420081F0E1C}"/>
              </c:ext>
            </c:extLst>
          </c:dPt>
          <c:dPt>
            <c:idx val="38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B-6CAD-46DB-A625-73ECC388534F}"/>
              </c:ext>
            </c:extLst>
          </c:dPt>
          <c:dPt>
            <c:idx val="39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F-DB42-4AEF-88D0-E80D423E92EB}"/>
              </c:ext>
            </c:extLst>
          </c:dPt>
          <c:dPt>
            <c:idx val="40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9-124B-4672-8516-F6D36DBA4278}"/>
              </c:ext>
            </c:extLst>
          </c:dPt>
          <c:dPt>
            <c:idx val="41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F-6CAD-46DB-A625-73ECC388534F}"/>
              </c:ext>
            </c:extLst>
          </c:dPt>
          <c:dPt>
            <c:idx val="42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B-124B-4672-8516-F6D36DBA4278}"/>
              </c:ext>
            </c:extLst>
          </c:dPt>
          <c:dPt>
            <c:idx val="43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3-6CAD-46DB-A625-73ECC388534F}"/>
              </c:ext>
            </c:extLst>
          </c:dPt>
          <c:dPt>
            <c:idx val="44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D-326B-4460-A1BC-9DBE62954CAD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('Données '!$C$199,'Données '!$E$199,'Données '!$G$199,'Données '!$I$199,'Données '!$K$199,'Données '!$M$199,'Données '!$O$199)</c:f>
              <c:strCache>
                <c:ptCount val="7"/>
                <c:pt idx="0">
                  <c:v>ESQ ==&gt; APD</c:v>
                </c:pt>
                <c:pt idx="1">
                  <c:v>Fin études/AO</c:v>
                </c:pt>
                <c:pt idx="2">
                  <c:v>OS</c:v>
                </c:pt>
                <c:pt idx="3">
                  <c:v>Travaux</c:v>
                </c:pt>
                <c:pt idx="4">
                  <c:v>GPA</c:v>
                </c:pt>
                <c:pt idx="5">
                  <c:v>Clôture défisc</c:v>
                </c:pt>
                <c:pt idx="6">
                  <c:v>STOP</c:v>
                </c:pt>
              </c:strCache>
            </c:strRef>
          </c:cat>
          <c:val>
            <c:numRef>
              <c:f>('Données '!$C$201,'Données '!$E$201,'Données '!$G$201,'Données '!$I$201,'Données '!$K$201,'Données '!$M$201,'Données '!$O$201)</c:f>
              <c:numCache>
                <c:formatCode>General</c:formatCode>
                <c:ptCount val="7"/>
                <c:pt idx="0">
                  <c:v>3</c:v>
                </c:pt>
                <c:pt idx="1">
                  <c:v>1</c:v>
                </c:pt>
                <c:pt idx="2">
                  <c:v>0</c:v>
                </c:pt>
                <c:pt idx="3">
                  <c:v>2</c:v>
                </c:pt>
                <c:pt idx="4">
                  <c:v>0</c:v>
                </c:pt>
                <c:pt idx="5">
                  <c:v>0</c:v>
                </c:pt>
                <c:pt idx="6">
                  <c:v>2</c:v>
                </c:pt>
              </c:numCache>
              <c:extLst/>
            </c:numRef>
          </c:val>
          <c:extLst>
            <c:ext xmlns:c16="http://schemas.microsoft.com/office/drawing/2014/chart" uri="{C3380CC4-5D6E-409C-BE32-E72D297353CC}">
              <c16:uniqueId val="{0000065A-D6E4-4410-9DDB-6099E70C9B54}"/>
            </c:ext>
          </c:extLst>
        </c:ser>
        <c:ser>
          <c:idx val="2"/>
          <c:order val="2"/>
          <c:tx>
            <c:strRef>
              <c:f>'Données '!$B$202</c:f>
              <c:strCache>
                <c:ptCount val="1"/>
                <c:pt idx="0">
                  <c:v>MMA</c:v>
                </c:pt>
              </c:strCache>
            </c:strRef>
          </c:tx>
          <c:dPt>
            <c:idx val="0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F-124B-4672-8516-F6D36DBA4278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1-124B-4672-8516-F6D36DBA4278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F-D7B1-482E-B5D5-FCEA5E541D50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5-7CD8-4A60-A33F-1717A39483F8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3-D7B1-482E-B5D5-FCEA5E541D50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B-7975-431F-9A40-51ED49C53D54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7-D7B1-482E-B5D5-FCEA5E541D50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9-7CD8-4A60-A33F-1717A39483F8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B-D7B1-482E-B5D5-FCEA5E541D50}"/>
              </c:ext>
            </c:extLst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5-5DB5-4B66-A3C1-23364AA3A90E}"/>
              </c:ext>
            </c:extLst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F-D7B1-482E-B5D5-FCEA5E541D50}"/>
              </c:ext>
            </c:extLst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D-7CD8-4A60-A33F-1717A39483F8}"/>
              </c:ext>
            </c:extLst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F-7975-431F-9A40-51ED49C53D54}"/>
              </c:ext>
            </c:extLst>
          </c:dPt>
          <c:dPt>
            <c:idx val="1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1-7CD8-4A60-A33F-1717A39483F8}"/>
              </c:ext>
            </c:extLst>
          </c:dPt>
          <c:dPt>
            <c:idx val="1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3-124B-4672-8516-F6D36DBA4278}"/>
              </c:ext>
            </c:extLst>
          </c:dPt>
          <c:dPt>
            <c:idx val="1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5-7CD8-4A60-A33F-1717A39483F8}"/>
              </c:ext>
            </c:extLst>
          </c:dPt>
          <c:dPt>
            <c:idx val="1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3-7975-431F-9A40-51ED49C53D54}"/>
              </c:ext>
            </c:extLst>
          </c:dPt>
          <c:dPt>
            <c:idx val="1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9-5DB5-4B66-A3C1-23364AA3A90E}"/>
              </c:ext>
            </c:extLst>
          </c:dPt>
          <c:dPt>
            <c:idx val="18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7-7975-431F-9A40-51ED49C53D54}"/>
              </c:ext>
            </c:extLst>
          </c:dPt>
          <c:dPt>
            <c:idx val="19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7-967E-4869-AF23-D06D183DB131}"/>
              </c:ext>
            </c:extLst>
          </c:dPt>
          <c:dPt>
            <c:idx val="20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B-7975-431F-9A40-51ED49C53D54}"/>
              </c:ext>
            </c:extLst>
          </c:dPt>
          <c:dPt>
            <c:idx val="21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3-D8CA-4062-B9F1-ED55E0CBB8C4}"/>
              </c:ext>
            </c:extLst>
          </c:dPt>
          <c:dPt>
            <c:idx val="22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B-967E-4869-AF23-D06D183DB131}"/>
              </c:ext>
            </c:extLst>
          </c:dPt>
          <c:dPt>
            <c:idx val="23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F-5603-4EC2-86D9-B7F372B6410A}"/>
              </c:ext>
            </c:extLst>
          </c:dPt>
          <c:dPt>
            <c:idx val="2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7-D8CA-4062-B9F1-ED55E0CBB8C4}"/>
              </c:ext>
            </c:extLst>
          </c:dPt>
          <c:dPt>
            <c:idx val="2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D-6CAD-46DB-A625-73ECC388534F}"/>
              </c:ext>
            </c:extLst>
          </c:dPt>
          <c:dPt>
            <c:idx val="2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3-5603-4EC2-86D9-B7F372B6410A}"/>
              </c:ext>
            </c:extLst>
          </c:dPt>
          <c:dPt>
            <c:idx val="2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D-5DB5-4B66-A3C1-23364AA3A90E}"/>
              </c:ext>
            </c:extLst>
          </c:dPt>
          <c:dPt>
            <c:idx val="28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5-124B-4672-8516-F6D36DBA4278}"/>
              </c:ext>
            </c:extLst>
          </c:dPt>
          <c:dPt>
            <c:idx val="29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1-5DB5-4B66-A3C1-23364AA3A90E}"/>
              </c:ext>
            </c:extLst>
          </c:dPt>
          <c:dPt>
            <c:idx val="30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1-C46B-4F7B-A9F3-E53E8CB683E4}"/>
              </c:ext>
            </c:extLst>
          </c:dPt>
          <c:dPt>
            <c:idx val="31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5-5DB5-4B66-A3C1-23364AA3A90E}"/>
              </c:ext>
            </c:extLst>
          </c:dPt>
          <c:dPt>
            <c:idx val="32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D-47D9-4560-990E-76275056911A}"/>
              </c:ext>
            </c:extLst>
          </c:dPt>
          <c:dPt>
            <c:idx val="33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5-C46B-4F7B-A9F3-E53E8CB683E4}"/>
              </c:ext>
            </c:extLst>
          </c:dPt>
          <c:dPt>
            <c:idx val="34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9-0685-4E14-B5B6-7420081F0E1C}"/>
              </c:ext>
            </c:extLst>
          </c:dPt>
          <c:dPt>
            <c:idx val="35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1-47D9-4560-990E-76275056911A}"/>
              </c:ext>
            </c:extLst>
          </c:dPt>
          <c:dPt>
            <c:idx val="36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5-DB42-4AEF-88D0-E80D423E92EB}"/>
              </c:ext>
            </c:extLst>
          </c:dPt>
          <c:dPt>
            <c:idx val="37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D-0685-4E14-B5B6-7420081F0E1C}"/>
              </c:ext>
            </c:extLst>
          </c:dPt>
          <c:dPt>
            <c:idx val="38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1-6CAD-46DB-A625-73ECC388534F}"/>
              </c:ext>
            </c:extLst>
          </c:dPt>
          <c:dPt>
            <c:idx val="39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9-DB42-4AEF-88D0-E80D423E92EB}"/>
              </c:ext>
            </c:extLst>
          </c:dPt>
          <c:dPt>
            <c:idx val="40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7-124B-4672-8516-F6D36DBA4278}"/>
              </c:ext>
            </c:extLst>
          </c:dPt>
          <c:dPt>
            <c:idx val="41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5-6CAD-46DB-A625-73ECC388534F}"/>
              </c:ext>
            </c:extLst>
          </c:dPt>
          <c:dPt>
            <c:idx val="42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9-124B-4672-8516-F6D36DBA4278}"/>
              </c:ext>
            </c:extLst>
          </c:dPt>
          <c:dPt>
            <c:idx val="43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9-6CAD-46DB-A625-73ECC388534F}"/>
              </c:ext>
            </c:extLst>
          </c:dPt>
          <c:dPt>
            <c:idx val="44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B-326B-4460-A1BC-9DBE62954CAD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('Données '!$C$199,'Données '!$E$199,'Données '!$G$199,'Données '!$I$199,'Données '!$K$199,'Données '!$M$199,'Données '!$O$199)</c:f>
              <c:strCache>
                <c:ptCount val="7"/>
                <c:pt idx="0">
                  <c:v>ESQ ==&gt; APD</c:v>
                </c:pt>
                <c:pt idx="1">
                  <c:v>Fin études/AO</c:v>
                </c:pt>
                <c:pt idx="2">
                  <c:v>OS</c:v>
                </c:pt>
                <c:pt idx="3">
                  <c:v>Travaux</c:v>
                </c:pt>
                <c:pt idx="4">
                  <c:v>GPA</c:v>
                </c:pt>
                <c:pt idx="5">
                  <c:v>Clôture défisc</c:v>
                </c:pt>
                <c:pt idx="6">
                  <c:v>STOP</c:v>
                </c:pt>
              </c:strCache>
            </c:strRef>
          </c:cat>
          <c:val>
            <c:numRef>
              <c:f>('Données '!$C$202,'Données '!$E$202,'Données '!$G$202,'Données '!$I$202,'Données '!$K$202,'Données '!$M$202,'Données '!$O$202)</c:f>
              <c:numCache>
                <c:formatCode>General</c:formatCode>
                <c:ptCount val="7"/>
                <c:pt idx="0">
                  <c:v>2</c:v>
                </c:pt>
                <c:pt idx="1">
                  <c:v>2</c:v>
                </c:pt>
                <c:pt idx="2">
                  <c:v>0</c:v>
                </c:pt>
                <c:pt idx="3">
                  <c:v>1</c:v>
                </c:pt>
                <c:pt idx="4">
                  <c:v>1</c:v>
                </c:pt>
                <c:pt idx="5">
                  <c:v>0</c:v>
                </c:pt>
                <c:pt idx="6">
                  <c:v>0</c:v>
                </c:pt>
              </c:numCache>
              <c:extLst/>
            </c:numRef>
          </c:val>
          <c:extLst>
            <c:ext xmlns:c16="http://schemas.microsoft.com/office/drawing/2014/chart" uri="{C3380CC4-5D6E-409C-BE32-E72D297353CC}">
              <c16:uniqueId val="{0000065B-D6E4-4410-9DDB-6099E70C9B54}"/>
            </c:ext>
          </c:extLst>
        </c:ser>
        <c:ser>
          <c:idx val="3"/>
          <c:order val="3"/>
          <c:tx>
            <c:strRef>
              <c:f>'Données '!$B$203</c:f>
              <c:strCache>
                <c:ptCount val="1"/>
                <c:pt idx="0">
                  <c:v>DAM</c:v>
                </c:pt>
              </c:strCache>
            </c:strRef>
          </c:tx>
          <c:dPt>
            <c:idx val="0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D-124B-4672-8516-F6D36DBA4278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F-124B-4672-8516-F6D36DBA4278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B9-D7B1-482E-B5D5-FCEA5E541D50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A5-7CD8-4A60-A33F-1717A39483F8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BD-D7B1-482E-B5D5-FCEA5E541D50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91-7975-431F-9A40-51ED49C53D54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C1-D7B1-482E-B5D5-FCEA5E541D50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A9-7CD8-4A60-A33F-1717A39483F8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C5-D7B1-482E-B5D5-FCEA5E541D50}"/>
              </c:ext>
            </c:extLst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5-5DB5-4B66-A3C1-23364AA3A90E}"/>
              </c:ext>
            </c:extLst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C9-D7B1-482E-B5D5-FCEA5E541D50}"/>
              </c:ext>
            </c:extLst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AD-7CD8-4A60-A33F-1717A39483F8}"/>
              </c:ext>
            </c:extLst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95-7975-431F-9A40-51ED49C53D54}"/>
              </c:ext>
            </c:extLst>
          </c:dPt>
          <c:dPt>
            <c:idx val="1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B1-7CD8-4A60-A33F-1717A39483F8}"/>
              </c:ext>
            </c:extLst>
          </c:dPt>
          <c:dPt>
            <c:idx val="1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1-124B-4672-8516-F6D36DBA4278}"/>
              </c:ext>
            </c:extLst>
          </c:dPt>
          <c:dPt>
            <c:idx val="1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B5-7CD8-4A60-A33F-1717A39483F8}"/>
              </c:ext>
            </c:extLst>
          </c:dPt>
          <c:dPt>
            <c:idx val="1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99-7975-431F-9A40-51ED49C53D54}"/>
              </c:ext>
            </c:extLst>
          </c:dPt>
          <c:dPt>
            <c:idx val="1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9-5DB5-4B66-A3C1-23364AA3A90E}"/>
              </c:ext>
            </c:extLst>
          </c:dPt>
          <c:dPt>
            <c:idx val="18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9D-7975-431F-9A40-51ED49C53D54}"/>
              </c:ext>
            </c:extLst>
          </c:dPt>
          <c:dPt>
            <c:idx val="19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83-967E-4869-AF23-D06D183DB131}"/>
              </c:ext>
            </c:extLst>
          </c:dPt>
          <c:dPt>
            <c:idx val="20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A1-7975-431F-9A40-51ED49C53D54}"/>
              </c:ext>
            </c:extLst>
          </c:dPt>
          <c:dPt>
            <c:idx val="21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B-D8CA-4062-B9F1-ED55E0CBB8C4}"/>
              </c:ext>
            </c:extLst>
          </c:dPt>
          <c:dPt>
            <c:idx val="22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87-967E-4869-AF23-D06D183DB131}"/>
              </c:ext>
            </c:extLst>
          </c:dPt>
          <c:dPt>
            <c:idx val="23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3-5603-4EC2-86D9-B7F372B6410A}"/>
              </c:ext>
            </c:extLst>
          </c:dPt>
          <c:dPt>
            <c:idx val="2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F-D8CA-4062-B9F1-ED55E0CBB8C4}"/>
              </c:ext>
            </c:extLst>
          </c:dPt>
          <c:dPt>
            <c:idx val="2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3-6CAD-46DB-A625-73ECC388534F}"/>
              </c:ext>
            </c:extLst>
          </c:dPt>
          <c:dPt>
            <c:idx val="2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7-5603-4EC2-86D9-B7F372B6410A}"/>
              </c:ext>
            </c:extLst>
          </c:dPt>
          <c:dPt>
            <c:idx val="2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D-5DB5-4B66-A3C1-23364AA3A90E}"/>
              </c:ext>
            </c:extLst>
          </c:dPt>
          <c:dPt>
            <c:idx val="28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3-124B-4672-8516-F6D36DBA4278}"/>
              </c:ext>
            </c:extLst>
          </c:dPt>
          <c:dPt>
            <c:idx val="29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1-5DB5-4B66-A3C1-23364AA3A90E}"/>
              </c:ext>
            </c:extLst>
          </c:dPt>
          <c:dPt>
            <c:idx val="30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7-C46B-4F7B-A9F3-E53E8CB683E4}"/>
              </c:ext>
            </c:extLst>
          </c:dPt>
          <c:dPt>
            <c:idx val="31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5-5DB5-4B66-A3C1-23364AA3A90E}"/>
              </c:ext>
            </c:extLst>
          </c:dPt>
          <c:dPt>
            <c:idx val="32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F-47D9-4560-990E-76275056911A}"/>
              </c:ext>
            </c:extLst>
          </c:dPt>
          <c:dPt>
            <c:idx val="33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B-C46B-4F7B-A9F3-E53E8CB683E4}"/>
              </c:ext>
            </c:extLst>
          </c:dPt>
          <c:dPt>
            <c:idx val="34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7-0685-4E14-B5B6-7420081F0E1C}"/>
              </c:ext>
            </c:extLst>
          </c:dPt>
          <c:dPt>
            <c:idx val="35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3-47D9-4560-990E-76275056911A}"/>
              </c:ext>
            </c:extLst>
          </c:dPt>
          <c:dPt>
            <c:idx val="36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F-DB42-4AEF-88D0-E80D423E92EB}"/>
              </c:ext>
            </c:extLst>
          </c:dPt>
          <c:dPt>
            <c:idx val="37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B-0685-4E14-B5B6-7420081F0E1C}"/>
              </c:ext>
            </c:extLst>
          </c:dPt>
          <c:dPt>
            <c:idx val="38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7-6CAD-46DB-A625-73ECC388534F}"/>
              </c:ext>
            </c:extLst>
          </c:dPt>
          <c:dPt>
            <c:idx val="39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3-DB42-4AEF-88D0-E80D423E92EB}"/>
              </c:ext>
            </c:extLst>
          </c:dPt>
          <c:dPt>
            <c:idx val="40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5-124B-4672-8516-F6D36DBA4278}"/>
              </c:ext>
            </c:extLst>
          </c:dPt>
          <c:dPt>
            <c:idx val="41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B-6CAD-46DB-A625-73ECC388534F}"/>
              </c:ext>
            </c:extLst>
          </c:dPt>
          <c:dPt>
            <c:idx val="42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7-124B-4672-8516-F6D36DBA4278}"/>
              </c:ext>
            </c:extLst>
          </c:dPt>
          <c:dPt>
            <c:idx val="43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F-6CAD-46DB-A625-73ECC388534F}"/>
              </c:ext>
            </c:extLst>
          </c:dPt>
          <c:dPt>
            <c:idx val="44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9-326B-4460-A1BC-9DBE62954CAD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('Données '!$C$199,'Données '!$E$199,'Données '!$G$199,'Données '!$I$199,'Données '!$K$199,'Données '!$M$199,'Données '!$O$199)</c:f>
              <c:strCache>
                <c:ptCount val="7"/>
                <c:pt idx="0">
                  <c:v>ESQ ==&gt; APD</c:v>
                </c:pt>
                <c:pt idx="1">
                  <c:v>Fin études/AO</c:v>
                </c:pt>
                <c:pt idx="2">
                  <c:v>OS</c:v>
                </c:pt>
                <c:pt idx="3">
                  <c:v>Travaux</c:v>
                </c:pt>
                <c:pt idx="4">
                  <c:v>GPA</c:v>
                </c:pt>
                <c:pt idx="5">
                  <c:v>Clôture défisc</c:v>
                </c:pt>
                <c:pt idx="6">
                  <c:v>STOP</c:v>
                </c:pt>
              </c:strCache>
            </c:strRef>
          </c:cat>
          <c:val>
            <c:numRef>
              <c:f>('Données '!$C$203,'Données '!$E$203,'Données '!$G$203,'Données '!$I$203,'Données '!$K$203,'Données '!$M$203,'Données '!$O$203)</c:f>
              <c:numCache>
                <c:formatCode>General</c:formatCode>
                <c:ptCount val="7"/>
                <c:pt idx="0">
                  <c:v>0</c:v>
                </c:pt>
                <c:pt idx="1">
                  <c:v>2</c:v>
                </c:pt>
                <c:pt idx="2">
                  <c:v>0</c:v>
                </c:pt>
                <c:pt idx="3">
                  <c:v>1</c:v>
                </c:pt>
                <c:pt idx="4">
                  <c:v>0</c:v>
                </c:pt>
                <c:pt idx="5">
                  <c:v>1</c:v>
                </c:pt>
                <c:pt idx="6">
                  <c:v>0</c:v>
                </c:pt>
              </c:numCache>
              <c:extLst/>
            </c:numRef>
          </c:val>
          <c:extLst>
            <c:ext xmlns:c16="http://schemas.microsoft.com/office/drawing/2014/chart" uri="{C3380CC4-5D6E-409C-BE32-E72D297353CC}">
              <c16:uniqueId val="{0000065C-D6E4-4410-9DDB-6099E70C9B54}"/>
            </c:ext>
          </c:extLst>
        </c:ser>
        <c:ser>
          <c:idx val="4"/>
          <c:order val="4"/>
          <c:tx>
            <c:strRef>
              <c:f>'Données '!$B$204</c:f>
              <c:strCache>
                <c:ptCount val="1"/>
                <c:pt idx="0">
                  <c:v>NLE</c:v>
                </c:pt>
              </c:strCache>
            </c:strRef>
          </c:tx>
          <c:dPt>
            <c:idx val="0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B-124B-4672-8516-F6D36DBA4278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D-124B-4672-8516-F6D36DBA4278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13-D7B1-482E-B5D5-FCEA5E541D50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F5-7CD8-4A60-A33F-1717A39483F8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17-D7B1-482E-B5D5-FCEA5E541D50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D7-7975-431F-9A40-51ED49C53D54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1B-D7B1-482E-B5D5-FCEA5E541D50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F9-7CD8-4A60-A33F-1717A39483F8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1F-D7B1-482E-B5D5-FCEA5E541D50}"/>
              </c:ext>
            </c:extLst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95-5DB5-4B66-A3C1-23364AA3A90E}"/>
              </c:ext>
            </c:extLst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23-D7B1-482E-B5D5-FCEA5E541D50}"/>
              </c:ext>
            </c:extLst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FD-7CD8-4A60-A33F-1717A39483F8}"/>
              </c:ext>
            </c:extLst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DB-7975-431F-9A40-51ED49C53D54}"/>
              </c:ext>
            </c:extLst>
          </c:dPt>
          <c:dPt>
            <c:idx val="1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01-7CD8-4A60-A33F-1717A39483F8}"/>
              </c:ext>
            </c:extLst>
          </c:dPt>
          <c:dPt>
            <c:idx val="1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F-124B-4672-8516-F6D36DBA4278}"/>
              </c:ext>
            </c:extLst>
          </c:dPt>
          <c:dPt>
            <c:idx val="1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05-7CD8-4A60-A33F-1717A39483F8}"/>
              </c:ext>
            </c:extLst>
          </c:dPt>
          <c:dPt>
            <c:idx val="1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DF-7975-431F-9A40-51ED49C53D54}"/>
              </c:ext>
            </c:extLst>
          </c:dPt>
          <c:dPt>
            <c:idx val="1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99-5DB5-4B66-A3C1-23364AA3A90E}"/>
              </c:ext>
            </c:extLst>
          </c:dPt>
          <c:dPt>
            <c:idx val="18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E3-7975-431F-9A40-51ED49C53D54}"/>
              </c:ext>
            </c:extLst>
          </c:dPt>
          <c:dPt>
            <c:idx val="19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BF-967E-4869-AF23-D06D183DB131}"/>
              </c:ext>
            </c:extLst>
          </c:dPt>
          <c:dPt>
            <c:idx val="20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E7-7975-431F-9A40-51ED49C53D54}"/>
              </c:ext>
            </c:extLst>
          </c:dPt>
          <c:dPt>
            <c:idx val="21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B3-D8CA-4062-B9F1-ED55E0CBB8C4}"/>
              </c:ext>
            </c:extLst>
          </c:dPt>
          <c:dPt>
            <c:idx val="22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C3-967E-4869-AF23-D06D183DB131}"/>
              </c:ext>
            </c:extLst>
          </c:dPt>
          <c:dPt>
            <c:idx val="23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A7-5603-4EC2-86D9-B7F372B6410A}"/>
              </c:ext>
            </c:extLst>
          </c:dPt>
          <c:dPt>
            <c:idx val="2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B7-D8CA-4062-B9F1-ED55E0CBB8C4}"/>
              </c:ext>
            </c:extLst>
          </c:dPt>
          <c:dPt>
            <c:idx val="2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9-6CAD-46DB-A625-73ECC388534F}"/>
              </c:ext>
            </c:extLst>
          </c:dPt>
          <c:dPt>
            <c:idx val="2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AB-5603-4EC2-86D9-B7F372B6410A}"/>
              </c:ext>
            </c:extLst>
          </c:dPt>
          <c:dPt>
            <c:idx val="2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9D-5DB5-4B66-A3C1-23364AA3A90E}"/>
              </c:ext>
            </c:extLst>
          </c:dPt>
          <c:dPt>
            <c:idx val="28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1-124B-4672-8516-F6D36DBA4278}"/>
              </c:ext>
            </c:extLst>
          </c:dPt>
          <c:dPt>
            <c:idx val="29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A1-5DB5-4B66-A3C1-23364AA3A90E}"/>
              </c:ext>
            </c:extLst>
          </c:dPt>
          <c:dPt>
            <c:idx val="30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D-C46B-4F7B-A9F3-E53E8CB683E4}"/>
              </c:ext>
            </c:extLst>
          </c:dPt>
          <c:dPt>
            <c:idx val="31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A5-5DB5-4B66-A3C1-23364AA3A90E}"/>
              </c:ext>
            </c:extLst>
          </c:dPt>
          <c:dPt>
            <c:idx val="32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1-47D9-4560-990E-76275056911A}"/>
              </c:ext>
            </c:extLst>
          </c:dPt>
          <c:dPt>
            <c:idx val="33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81-C46B-4F7B-A9F3-E53E8CB683E4}"/>
              </c:ext>
            </c:extLst>
          </c:dPt>
          <c:dPt>
            <c:idx val="34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5-0685-4E14-B5B6-7420081F0E1C}"/>
              </c:ext>
            </c:extLst>
          </c:dPt>
          <c:dPt>
            <c:idx val="35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5-47D9-4560-990E-76275056911A}"/>
              </c:ext>
            </c:extLst>
          </c:dPt>
          <c:dPt>
            <c:idx val="36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9-DB42-4AEF-88D0-E80D423E92EB}"/>
              </c:ext>
            </c:extLst>
          </c:dPt>
          <c:dPt>
            <c:idx val="37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9-0685-4E14-B5B6-7420081F0E1C}"/>
              </c:ext>
            </c:extLst>
          </c:dPt>
          <c:dPt>
            <c:idx val="38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D-6CAD-46DB-A625-73ECC388534F}"/>
              </c:ext>
            </c:extLst>
          </c:dPt>
          <c:dPt>
            <c:idx val="39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D-DB42-4AEF-88D0-E80D423E92EB}"/>
              </c:ext>
            </c:extLst>
          </c:dPt>
          <c:dPt>
            <c:idx val="40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3-124B-4672-8516-F6D36DBA4278}"/>
              </c:ext>
            </c:extLst>
          </c:dPt>
          <c:dPt>
            <c:idx val="41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1-6CAD-46DB-A625-73ECC388534F}"/>
              </c:ext>
            </c:extLst>
          </c:dPt>
          <c:dPt>
            <c:idx val="42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5-124B-4672-8516-F6D36DBA4278}"/>
              </c:ext>
            </c:extLst>
          </c:dPt>
          <c:dPt>
            <c:idx val="43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5-6CAD-46DB-A625-73ECC388534F}"/>
              </c:ext>
            </c:extLst>
          </c:dPt>
          <c:dPt>
            <c:idx val="44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7-326B-4460-A1BC-9DBE62954CAD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('Données '!$C$199,'Données '!$E$199,'Données '!$G$199,'Données '!$I$199,'Données '!$K$199,'Données '!$M$199,'Données '!$O$199)</c:f>
              <c:strCache>
                <c:ptCount val="7"/>
                <c:pt idx="0">
                  <c:v>ESQ ==&gt; APD</c:v>
                </c:pt>
                <c:pt idx="1">
                  <c:v>Fin études/AO</c:v>
                </c:pt>
                <c:pt idx="2">
                  <c:v>OS</c:v>
                </c:pt>
                <c:pt idx="3">
                  <c:v>Travaux</c:v>
                </c:pt>
                <c:pt idx="4">
                  <c:v>GPA</c:v>
                </c:pt>
                <c:pt idx="5">
                  <c:v>Clôture défisc</c:v>
                </c:pt>
                <c:pt idx="6">
                  <c:v>STOP</c:v>
                </c:pt>
              </c:strCache>
            </c:strRef>
          </c:cat>
          <c:val>
            <c:numRef>
              <c:f>('Données '!$C$204,'Données '!$E$204,'Données '!$G$204,'Données '!$I$204,'Données '!$K$204,'Données '!$M$204,'Données '!$O$204)</c:f>
              <c:numCache>
                <c:formatCode>General</c:formatCode>
                <c:ptCount val="7"/>
                <c:pt idx="0">
                  <c:v>0</c:v>
                </c:pt>
                <c:pt idx="1">
                  <c:v>4</c:v>
                </c:pt>
                <c:pt idx="2">
                  <c:v>0</c:v>
                </c:pt>
                <c:pt idx="3">
                  <c:v>2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  <c:extLst/>
            </c:numRef>
          </c:val>
          <c:extLst>
            <c:ext xmlns:c16="http://schemas.microsoft.com/office/drawing/2014/chart" uri="{C3380CC4-5D6E-409C-BE32-E72D297353CC}">
              <c16:uniqueId val="{0000065D-D6E4-4410-9DDB-6099E70C9B54}"/>
            </c:ext>
          </c:extLst>
        </c:ser>
        <c:ser>
          <c:idx val="5"/>
          <c:order val="5"/>
          <c:tx>
            <c:strRef>
              <c:f>'Données initiales'!#REF!</c:f>
              <c:strCache>
                <c:ptCount val="1"/>
                <c:pt idx="0">
                  <c:v>#REF!</c:v>
                </c:pt>
              </c:strCache>
            </c:strRef>
          </c:tx>
          <c:dPt>
            <c:idx val="0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9-124B-4672-8516-F6D36DBA4278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B-124B-4672-8516-F6D36DBA4278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6D-D7B1-482E-B5D5-FCEA5E541D50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45-7CD8-4A60-A33F-1717A39483F8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71-D7B1-482E-B5D5-FCEA5E541D50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1D-7975-431F-9A40-51ED49C53D54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75-D7B1-482E-B5D5-FCEA5E541D50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49-7CD8-4A60-A33F-1717A39483F8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79-D7B1-482E-B5D5-FCEA5E541D50}"/>
              </c:ext>
            </c:extLst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C5-5DB5-4B66-A3C1-23364AA3A90E}"/>
              </c:ext>
            </c:extLst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7D-D7B1-482E-B5D5-FCEA5E541D50}"/>
              </c:ext>
            </c:extLst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4D-7CD8-4A60-A33F-1717A39483F8}"/>
              </c:ext>
            </c:extLst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21-7975-431F-9A40-51ED49C53D54}"/>
              </c:ext>
            </c:extLst>
          </c:dPt>
          <c:dPt>
            <c:idx val="1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51-7CD8-4A60-A33F-1717A39483F8}"/>
              </c:ext>
            </c:extLst>
          </c:dPt>
          <c:dPt>
            <c:idx val="1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D-124B-4672-8516-F6D36DBA4278}"/>
              </c:ext>
            </c:extLst>
          </c:dPt>
          <c:dPt>
            <c:idx val="1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55-7CD8-4A60-A33F-1717A39483F8}"/>
              </c:ext>
            </c:extLst>
          </c:dPt>
          <c:dPt>
            <c:idx val="1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25-7975-431F-9A40-51ED49C53D54}"/>
              </c:ext>
            </c:extLst>
          </c:dPt>
          <c:dPt>
            <c:idx val="1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C9-5DB5-4B66-A3C1-23364AA3A90E}"/>
              </c:ext>
            </c:extLst>
          </c:dPt>
          <c:dPt>
            <c:idx val="18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29-7975-431F-9A40-51ED49C53D54}"/>
              </c:ext>
            </c:extLst>
          </c:dPt>
          <c:dPt>
            <c:idx val="19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FB-967E-4869-AF23-D06D183DB131}"/>
              </c:ext>
            </c:extLst>
          </c:dPt>
          <c:dPt>
            <c:idx val="20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2D-7975-431F-9A40-51ED49C53D54}"/>
              </c:ext>
            </c:extLst>
          </c:dPt>
          <c:dPt>
            <c:idx val="21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EB-D8CA-4062-B9F1-ED55E0CBB8C4}"/>
              </c:ext>
            </c:extLst>
          </c:dPt>
          <c:dPt>
            <c:idx val="22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FF-967E-4869-AF23-D06D183DB131}"/>
              </c:ext>
            </c:extLst>
          </c:dPt>
          <c:dPt>
            <c:idx val="23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DB-5603-4EC2-86D9-B7F372B6410A}"/>
              </c:ext>
            </c:extLst>
          </c:dPt>
          <c:dPt>
            <c:idx val="2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EF-D8CA-4062-B9F1-ED55E0CBB8C4}"/>
              </c:ext>
            </c:extLst>
          </c:dPt>
          <c:dPt>
            <c:idx val="2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F-6CAD-46DB-A625-73ECC388534F}"/>
              </c:ext>
            </c:extLst>
          </c:dPt>
          <c:dPt>
            <c:idx val="2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DF-5603-4EC2-86D9-B7F372B6410A}"/>
              </c:ext>
            </c:extLst>
          </c:dPt>
          <c:dPt>
            <c:idx val="2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CD-5DB5-4B66-A3C1-23364AA3A90E}"/>
              </c:ext>
            </c:extLst>
          </c:dPt>
          <c:dPt>
            <c:idx val="28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F-124B-4672-8516-F6D36DBA4278}"/>
              </c:ext>
            </c:extLst>
          </c:dPt>
          <c:dPt>
            <c:idx val="29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D1-5DB5-4B66-A3C1-23364AA3A90E}"/>
              </c:ext>
            </c:extLst>
          </c:dPt>
          <c:dPt>
            <c:idx val="30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A3-C46B-4F7B-A9F3-E53E8CB683E4}"/>
              </c:ext>
            </c:extLst>
          </c:dPt>
          <c:dPt>
            <c:idx val="31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D5-5DB5-4B66-A3C1-23364AA3A90E}"/>
              </c:ext>
            </c:extLst>
          </c:dPt>
          <c:dPt>
            <c:idx val="32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93-47D9-4560-990E-76275056911A}"/>
              </c:ext>
            </c:extLst>
          </c:dPt>
          <c:dPt>
            <c:idx val="33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A7-C46B-4F7B-A9F3-E53E8CB683E4}"/>
              </c:ext>
            </c:extLst>
          </c:dPt>
          <c:dPt>
            <c:idx val="34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83-0685-4E14-B5B6-7420081F0E1C}"/>
              </c:ext>
            </c:extLst>
          </c:dPt>
          <c:dPt>
            <c:idx val="35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97-47D9-4560-990E-76275056911A}"/>
              </c:ext>
            </c:extLst>
          </c:dPt>
          <c:dPt>
            <c:idx val="36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3-DB42-4AEF-88D0-E80D423E92EB}"/>
              </c:ext>
            </c:extLst>
          </c:dPt>
          <c:dPt>
            <c:idx val="37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87-0685-4E14-B5B6-7420081F0E1C}"/>
              </c:ext>
            </c:extLst>
          </c:dPt>
          <c:dPt>
            <c:idx val="38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3-6CAD-46DB-A625-73ECC388534F}"/>
              </c:ext>
            </c:extLst>
          </c:dPt>
          <c:dPt>
            <c:idx val="39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7-DB42-4AEF-88D0-E80D423E92EB}"/>
              </c:ext>
            </c:extLst>
          </c:dPt>
          <c:dPt>
            <c:idx val="40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1-124B-4672-8516-F6D36DBA4278}"/>
              </c:ext>
            </c:extLst>
          </c:dPt>
          <c:dPt>
            <c:idx val="41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7-6CAD-46DB-A625-73ECC388534F}"/>
              </c:ext>
            </c:extLst>
          </c:dPt>
          <c:dPt>
            <c:idx val="42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3-124B-4672-8516-F6D36DBA4278}"/>
              </c:ext>
            </c:extLst>
          </c:dPt>
          <c:dPt>
            <c:idx val="43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B-6CAD-46DB-A625-73ECC388534F}"/>
              </c:ext>
            </c:extLst>
          </c:dPt>
          <c:dPt>
            <c:idx val="44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5-326B-4460-A1BC-9DBE62954CAD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('Données '!$C$199,'Données '!$E$199,'Données '!$G$199,'Données '!$I$199,'Données '!$K$199,'Données '!$M$199,'Données '!$O$199)</c:f>
              <c:strCache>
                <c:ptCount val="7"/>
                <c:pt idx="0">
                  <c:v>ESQ ==&gt; APD</c:v>
                </c:pt>
                <c:pt idx="1">
                  <c:v>Fin études/AO</c:v>
                </c:pt>
                <c:pt idx="2">
                  <c:v>OS</c:v>
                </c:pt>
                <c:pt idx="3">
                  <c:v>Travaux</c:v>
                </c:pt>
                <c:pt idx="4">
                  <c:v>GPA</c:v>
                </c:pt>
                <c:pt idx="5">
                  <c:v>Clôture défisc</c:v>
                </c:pt>
                <c:pt idx="6">
                  <c:v>STOP</c:v>
                </c:pt>
              </c:strCache>
            </c:strRef>
          </c:cat>
          <c:val>
            <c:numRef>
              <c:f>'Données initiales'!#REF!</c:f>
              <c:numCache>
                <c:formatCode>General</c:formatCode>
                <c:ptCount val="1"/>
                <c:pt idx="0">
                  <c:v>1</c:v>
                </c:pt>
              </c:numCache>
              <c:extLst/>
            </c:numRef>
          </c:val>
          <c:extLst>
            <c:ext xmlns:c16="http://schemas.microsoft.com/office/drawing/2014/chart" uri="{C3380CC4-5D6E-409C-BE32-E72D297353CC}">
              <c16:uniqueId val="{0000065E-D6E4-4410-9DDB-6099E70C9B54}"/>
            </c:ext>
          </c:extLst>
        </c:ser>
        <c:ser>
          <c:idx val="6"/>
          <c:order val="6"/>
          <c:tx>
            <c:strRef>
              <c:f>'Données '!$B$205</c:f>
              <c:strCache>
                <c:ptCount val="1"/>
                <c:pt idx="0">
                  <c:v>SRI</c:v>
                </c:pt>
              </c:strCache>
            </c:strRef>
          </c:tx>
          <c:dPt>
            <c:idx val="0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7-124B-4672-8516-F6D36DBA4278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9-124B-4672-8516-F6D36DBA4278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C7-D7B1-482E-B5D5-FCEA5E541D50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95-7CD8-4A60-A33F-1717A39483F8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CB-D7B1-482E-B5D5-FCEA5E541D50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63-7975-431F-9A40-51ED49C53D54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CF-D7B1-482E-B5D5-FCEA5E541D50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99-7CD8-4A60-A33F-1717A39483F8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D3-D7B1-482E-B5D5-FCEA5E541D50}"/>
              </c:ext>
            </c:extLst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F5-5DB5-4B66-A3C1-23364AA3A90E}"/>
              </c:ext>
            </c:extLst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D7-D7B1-482E-B5D5-FCEA5E541D50}"/>
              </c:ext>
            </c:extLst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9D-7CD8-4A60-A33F-1717A39483F8}"/>
              </c:ext>
            </c:extLst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67-7975-431F-9A40-51ED49C53D54}"/>
              </c:ext>
            </c:extLst>
          </c:dPt>
          <c:dPt>
            <c:idx val="1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A1-7CD8-4A60-A33F-1717A39483F8}"/>
              </c:ext>
            </c:extLst>
          </c:dPt>
          <c:dPt>
            <c:idx val="1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B-124B-4672-8516-F6D36DBA4278}"/>
              </c:ext>
            </c:extLst>
          </c:dPt>
          <c:dPt>
            <c:idx val="1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A5-7CD8-4A60-A33F-1717A39483F8}"/>
              </c:ext>
            </c:extLst>
          </c:dPt>
          <c:dPt>
            <c:idx val="1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6B-7975-431F-9A40-51ED49C53D54}"/>
              </c:ext>
            </c:extLst>
          </c:dPt>
          <c:dPt>
            <c:idx val="1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F9-5DB5-4B66-A3C1-23364AA3A90E}"/>
              </c:ext>
            </c:extLst>
          </c:dPt>
          <c:dPt>
            <c:idx val="18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6F-7975-431F-9A40-51ED49C53D54}"/>
              </c:ext>
            </c:extLst>
          </c:dPt>
          <c:dPt>
            <c:idx val="19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37-967E-4869-AF23-D06D183DB131}"/>
              </c:ext>
            </c:extLst>
          </c:dPt>
          <c:dPt>
            <c:idx val="20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73-7975-431F-9A40-51ED49C53D54}"/>
              </c:ext>
            </c:extLst>
          </c:dPt>
          <c:dPt>
            <c:idx val="21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23-D8CA-4062-B9F1-ED55E0CBB8C4}"/>
              </c:ext>
            </c:extLst>
          </c:dPt>
          <c:dPt>
            <c:idx val="22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3B-967E-4869-AF23-D06D183DB131}"/>
              </c:ext>
            </c:extLst>
          </c:dPt>
          <c:dPt>
            <c:idx val="23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0F-5603-4EC2-86D9-B7F372B6410A}"/>
              </c:ext>
            </c:extLst>
          </c:dPt>
          <c:dPt>
            <c:idx val="2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27-D8CA-4062-B9F1-ED55E0CBB8C4}"/>
              </c:ext>
            </c:extLst>
          </c:dPt>
          <c:dPt>
            <c:idx val="2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5-6CAD-46DB-A625-73ECC388534F}"/>
              </c:ext>
            </c:extLst>
          </c:dPt>
          <c:dPt>
            <c:idx val="2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13-5603-4EC2-86D9-B7F372B6410A}"/>
              </c:ext>
            </c:extLst>
          </c:dPt>
          <c:dPt>
            <c:idx val="2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FD-5DB5-4B66-A3C1-23364AA3A90E}"/>
              </c:ext>
            </c:extLst>
          </c:dPt>
          <c:dPt>
            <c:idx val="28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D-124B-4672-8516-F6D36DBA4278}"/>
              </c:ext>
            </c:extLst>
          </c:dPt>
          <c:dPt>
            <c:idx val="29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01-5DB5-4B66-A3C1-23364AA3A90E}"/>
              </c:ext>
            </c:extLst>
          </c:dPt>
          <c:dPt>
            <c:idx val="30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C9-C46B-4F7B-A9F3-E53E8CB683E4}"/>
              </c:ext>
            </c:extLst>
          </c:dPt>
          <c:dPt>
            <c:idx val="31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05-5DB5-4B66-A3C1-23364AA3A90E}"/>
              </c:ext>
            </c:extLst>
          </c:dPt>
          <c:dPt>
            <c:idx val="32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B5-47D9-4560-990E-76275056911A}"/>
              </c:ext>
            </c:extLst>
          </c:dPt>
          <c:dPt>
            <c:idx val="33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CD-C46B-4F7B-A9F3-E53E8CB683E4}"/>
              </c:ext>
            </c:extLst>
          </c:dPt>
          <c:dPt>
            <c:idx val="34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A1-0685-4E14-B5B6-7420081F0E1C}"/>
              </c:ext>
            </c:extLst>
          </c:dPt>
          <c:dPt>
            <c:idx val="35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B9-47D9-4560-990E-76275056911A}"/>
              </c:ext>
            </c:extLst>
          </c:dPt>
          <c:dPt>
            <c:idx val="36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8D-DB42-4AEF-88D0-E80D423E92EB}"/>
              </c:ext>
            </c:extLst>
          </c:dPt>
          <c:dPt>
            <c:idx val="37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A5-0685-4E14-B5B6-7420081F0E1C}"/>
              </c:ext>
            </c:extLst>
          </c:dPt>
          <c:dPt>
            <c:idx val="38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9-6CAD-46DB-A625-73ECC388534F}"/>
              </c:ext>
            </c:extLst>
          </c:dPt>
          <c:dPt>
            <c:idx val="39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91-DB42-4AEF-88D0-E80D423E92EB}"/>
              </c:ext>
            </c:extLst>
          </c:dPt>
          <c:dPt>
            <c:idx val="40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F-124B-4672-8516-F6D36DBA4278}"/>
              </c:ext>
            </c:extLst>
          </c:dPt>
          <c:dPt>
            <c:idx val="41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D-6CAD-46DB-A625-73ECC388534F}"/>
              </c:ext>
            </c:extLst>
          </c:dPt>
          <c:dPt>
            <c:idx val="42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1-124B-4672-8516-F6D36DBA4278}"/>
              </c:ext>
            </c:extLst>
          </c:dPt>
          <c:dPt>
            <c:idx val="43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81-6CAD-46DB-A625-73ECC388534F}"/>
              </c:ext>
            </c:extLst>
          </c:dPt>
          <c:dPt>
            <c:idx val="44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3-326B-4460-A1BC-9DBE62954CAD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('Données '!$C$199,'Données '!$E$199,'Données '!$G$199,'Données '!$I$199,'Données '!$K$199,'Données '!$M$199,'Données '!$O$199)</c:f>
              <c:strCache>
                <c:ptCount val="7"/>
                <c:pt idx="0">
                  <c:v>ESQ ==&gt; APD</c:v>
                </c:pt>
                <c:pt idx="1">
                  <c:v>Fin études/AO</c:v>
                </c:pt>
                <c:pt idx="2">
                  <c:v>OS</c:v>
                </c:pt>
                <c:pt idx="3">
                  <c:v>Travaux</c:v>
                </c:pt>
                <c:pt idx="4">
                  <c:v>GPA</c:v>
                </c:pt>
                <c:pt idx="5">
                  <c:v>Clôture défisc</c:v>
                </c:pt>
                <c:pt idx="6">
                  <c:v>STOP</c:v>
                </c:pt>
              </c:strCache>
            </c:strRef>
          </c:cat>
          <c:val>
            <c:numRef>
              <c:f>('Données '!$C$205,'Données '!$E$205,'Données '!$G$205,'Données '!$I$205,'Données '!$K$205,'Données '!$M$205,'Données '!$O$205)</c:f>
              <c:numCache>
                <c:formatCode>General</c:formatCode>
                <c:ptCount val="7"/>
                <c:pt idx="0">
                  <c:v>1</c:v>
                </c:pt>
                <c:pt idx="1">
                  <c:v>0</c:v>
                </c:pt>
                <c:pt idx="2">
                  <c:v>0</c:v>
                </c:pt>
                <c:pt idx="3">
                  <c:v>2</c:v>
                </c:pt>
                <c:pt idx="4">
                  <c:v>0</c:v>
                </c:pt>
                <c:pt idx="5">
                  <c:v>1</c:v>
                </c:pt>
                <c:pt idx="6">
                  <c:v>0</c:v>
                </c:pt>
              </c:numCache>
              <c:extLst/>
            </c:numRef>
          </c:val>
          <c:extLst>
            <c:ext xmlns:c16="http://schemas.microsoft.com/office/drawing/2014/chart" uri="{C3380CC4-5D6E-409C-BE32-E72D297353CC}">
              <c16:uniqueId val="{0000065F-D6E4-4410-9DDB-6099E70C9B54}"/>
            </c:ext>
          </c:extLst>
        </c:ser>
        <c:ser>
          <c:idx val="7"/>
          <c:order val="7"/>
          <c:tx>
            <c:strRef>
              <c:f>'Données '!$B$206</c:f>
              <c:strCache>
                <c:ptCount val="1"/>
                <c:pt idx="0">
                  <c:v>VAF</c:v>
                </c:pt>
              </c:strCache>
            </c:strRef>
          </c:tx>
          <c:dPt>
            <c:idx val="0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5-124B-4672-8516-F6D36DBA4278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7-124B-4672-8516-F6D36DBA4278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21-D7B1-482E-B5D5-FCEA5E541D50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E5-7CD8-4A60-A33F-1717A39483F8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25-D7B1-482E-B5D5-FCEA5E541D50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A9-7975-431F-9A40-51ED49C53D54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29-D7B1-482E-B5D5-FCEA5E541D50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E9-7CD8-4A60-A33F-1717A39483F8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2D-D7B1-482E-B5D5-FCEA5E541D50}"/>
              </c:ext>
            </c:extLst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25-5DB5-4B66-A3C1-23364AA3A90E}"/>
              </c:ext>
            </c:extLst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31-D7B1-482E-B5D5-FCEA5E541D50}"/>
              </c:ext>
            </c:extLst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ED-7CD8-4A60-A33F-1717A39483F8}"/>
              </c:ext>
            </c:extLst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AD-7975-431F-9A40-51ED49C53D54}"/>
              </c:ext>
            </c:extLst>
          </c:dPt>
          <c:dPt>
            <c:idx val="1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F1-7CD8-4A60-A33F-1717A39483F8}"/>
              </c:ext>
            </c:extLst>
          </c:dPt>
          <c:dPt>
            <c:idx val="1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9-124B-4672-8516-F6D36DBA4278}"/>
              </c:ext>
            </c:extLst>
          </c:dPt>
          <c:dPt>
            <c:idx val="1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F5-7CD8-4A60-A33F-1717A39483F8}"/>
              </c:ext>
            </c:extLst>
          </c:dPt>
          <c:dPt>
            <c:idx val="1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B1-7975-431F-9A40-51ED49C53D54}"/>
              </c:ext>
            </c:extLst>
          </c:dPt>
          <c:dPt>
            <c:idx val="1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29-5DB5-4B66-A3C1-23364AA3A90E}"/>
              </c:ext>
            </c:extLst>
          </c:dPt>
          <c:dPt>
            <c:idx val="18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B5-7975-431F-9A40-51ED49C53D54}"/>
              </c:ext>
            </c:extLst>
          </c:dPt>
          <c:dPt>
            <c:idx val="19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73-967E-4869-AF23-D06D183DB131}"/>
              </c:ext>
            </c:extLst>
          </c:dPt>
          <c:dPt>
            <c:idx val="20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B9-7975-431F-9A40-51ED49C53D54}"/>
              </c:ext>
            </c:extLst>
          </c:dPt>
          <c:dPt>
            <c:idx val="21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5B-D8CA-4062-B9F1-ED55E0CBB8C4}"/>
              </c:ext>
            </c:extLst>
          </c:dPt>
          <c:dPt>
            <c:idx val="22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77-967E-4869-AF23-D06D183DB131}"/>
              </c:ext>
            </c:extLst>
          </c:dPt>
          <c:dPt>
            <c:idx val="23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43-5603-4EC2-86D9-B7F372B6410A}"/>
              </c:ext>
            </c:extLst>
          </c:dPt>
          <c:dPt>
            <c:idx val="2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5F-D8CA-4062-B9F1-ED55E0CBB8C4}"/>
              </c:ext>
            </c:extLst>
          </c:dPt>
          <c:dPt>
            <c:idx val="2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8B-6CAD-46DB-A625-73ECC388534F}"/>
              </c:ext>
            </c:extLst>
          </c:dPt>
          <c:dPt>
            <c:idx val="2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47-5603-4EC2-86D9-B7F372B6410A}"/>
              </c:ext>
            </c:extLst>
          </c:dPt>
          <c:dPt>
            <c:idx val="2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2D-5DB5-4B66-A3C1-23364AA3A90E}"/>
              </c:ext>
            </c:extLst>
          </c:dPt>
          <c:dPt>
            <c:idx val="28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B-124B-4672-8516-F6D36DBA4278}"/>
              </c:ext>
            </c:extLst>
          </c:dPt>
          <c:dPt>
            <c:idx val="29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31-5DB5-4B66-A3C1-23364AA3A90E}"/>
              </c:ext>
            </c:extLst>
          </c:dPt>
          <c:dPt>
            <c:idx val="30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EF-C46B-4F7B-A9F3-E53E8CB683E4}"/>
              </c:ext>
            </c:extLst>
          </c:dPt>
          <c:dPt>
            <c:idx val="31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35-5DB5-4B66-A3C1-23364AA3A90E}"/>
              </c:ext>
            </c:extLst>
          </c:dPt>
          <c:dPt>
            <c:idx val="32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D7-47D9-4560-990E-76275056911A}"/>
              </c:ext>
            </c:extLst>
          </c:dPt>
          <c:dPt>
            <c:idx val="33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F3-C46B-4F7B-A9F3-E53E8CB683E4}"/>
              </c:ext>
            </c:extLst>
          </c:dPt>
          <c:dPt>
            <c:idx val="34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BF-0685-4E14-B5B6-7420081F0E1C}"/>
              </c:ext>
            </c:extLst>
          </c:dPt>
          <c:dPt>
            <c:idx val="35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DB-47D9-4560-990E-76275056911A}"/>
              </c:ext>
            </c:extLst>
          </c:dPt>
          <c:dPt>
            <c:idx val="36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A7-DB42-4AEF-88D0-E80D423E92EB}"/>
              </c:ext>
            </c:extLst>
          </c:dPt>
          <c:dPt>
            <c:idx val="37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C3-0685-4E14-B5B6-7420081F0E1C}"/>
              </c:ext>
            </c:extLst>
          </c:dPt>
          <c:dPt>
            <c:idx val="38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8F-6CAD-46DB-A625-73ECC388534F}"/>
              </c:ext>
            </c:extLst>
          </c:dPt>
          <c:dPt>
            <c:idx val="39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AB-DB42-4AEF-88D0-E80D423E92EB}"/>
              </c:ext>
            </c:extLst>
          </c:dPt>
          <c:dPt>
            <c:idx val="40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D-124B-4672-8516-F6D36DBA4278}"/>
              </c:ext>
            </c:extLst>
          </c:dPt>
          <c:dPt>
            <c:idx val="41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93-6CAD-46DB-A625-73ECC388534F}"/>
              </c:ext>
            </c:extLst>
          </c:dPt>
          <c:dPt>
            <c:idx val="42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F-124B-4672-8516-F6D36DBA4278}"/>
              </c:ext>
            </c:extLst>
          </c:dPt>
          <c:dPt>
            <c:idx val="43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97-6CAD-46DB-A625-73ECC388534F}"/>
              </c:ext>
            </c:extLst>
          </c:dPt>
          <c:dPt>
            <c:idx val="44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1-326B-4460-A1BC-9DBE62954CAD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('Données '!$C$199,'Données '!$E$199,'Données '!$G$199,'Données '!$I$199,'Données '!$K$199,'Données '!$M$199,'Données '!$O$199)</c:f>
              <c:strCache>
                <c:ptCount val="7"/>
                <c:pt idx="0">
                  <c:v>ESQ ==&gt; APD</c:v>
                </c:pt>
                <c:pt idx="1">
                  <c:v>Fin études/AO</c:v>
                </c:pt>
                <c:pt idx="2">
                  <c:v>OS</c:v>
                </c:pt>
                <c:pt idx="3">
                  <c:v>Travaux</c:v>
                </c:pt>
                <c:pt idx="4">
                  <c:v>GPA</c:v>
                </c:pt>
                <c:pt idx="5">
                  <c:v>Clôture défisc</c:v>
                </c:pt>
                <c:pt idx="6">
                  <c:v>STOP</c:v>
                </c:pt>
              </c:strCache>
            </c:strRef>
          </c:cat>
          <c:val>
            <c:numRef>
              <c:f>('Données '!$C$206,'Données '!$E$206,'Données '!$G$206,'Données '!$I$206,'Données '!$K$206,'Données '!$M$206,'Données '!$O$206)</c:f>
              <c:numCache>
                <c:formatCode>General</c:formatCode>
                <c:ptCount val="7"/>
                <c:pt idx="0">
                  <c:v>2</c:v>
                </c:pt>
                <c:pt idx="1">
                  <c:v>1</c:v>
                </c:pt>
                <c:pt idx="2">
                  <c:v>0</c:v>
                </c:pt>
                <c:pt idx="3">
                  <c:v>3</c:v>
                </c:pt>
                <c:pt idx="4">
                  <c:v>3</c:v>
                </c:pt>
                <c:pt idx="5">
                  <c:v>1</c:v>
                </c:pt>
                <c:pt idx="6">
                  <c:v>0</c:v>
                </c:pt>
              </c:numCache>
              <c:extLst/>
            </c:numRef>
          </c:val>
          <c:extLst>
            <c:ext xmlns:c16="http://schemas.microsoft.com/office/drawing/2014/chart" uri="{C3380CC4-5D6E-409C-BE32-E72D297353CC}">
              <c16:uniqueId val="{00000660-D6E4-4410-9DDB-6099E70C9B54}"/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  <c:extLst/>
      </c:pieChart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70152296587926499"/>
          <c:y val="0.22416484397783609"/>
          <c:w val="0.28800698899901872"/>
          <c:h val="0.54687882764654416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2"/>
          <c:order val="2"/>
          <c:tx>
            <c:strRef>
              <c:f>'Données '!$B$202</c:f>
              <c:strCache>
                <c:ptCount val="1"/>
                <c:pt idx="0">
                  <c:v>MMA</c:v>
                </c:pt>
              </c:strCache>
            </c:strRef>
          </c:tx>
          <c:dPt>
            <c:idx val="0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AE6C-4EBA-B46F-54D3AEFC70C8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AE6C-4EBA-B46F-54D3AEFC70C8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E584-4D3C-B2C0-F71AB87A2A99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EABE-4DE8-9E08-79008D5637DA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9-E584-4D3C-B2C0-F71AB87A2A99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4C59-4571-A0EC-AF07DC26EFB8}"/>
              </c:ext>
            </c:extLst>
          </c:dPt>
          <c:dPt>
            <c:idx val="6"/>
            <c:bubble3D val="0"/>
            <c:spPr>
              <a:solidFill>
                <a:schemeClr val="tx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D-E584-4D3C-B2C0-F71AB87A2A99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9-EABE-4DE8-9E08-79008D5637DA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1-E584-4D3C-B2C0-F71AB87A2A99}"/>
              </c:ext>
            </c:extLst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302A-40FE-8A83-A7C7D11D567A}"/>
              </c:ext>
            </c:extLst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5-E584-4D3C-B2C0-F71AB87A2A99}"/>
              </c:ext>
            </c:extLst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D-EABE-4DE8-9E08-79008D5637DA}"/>
              </c:ext>
            </c:extLst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9-4C59-4571-A0EC-AF07DC26EFB8}"/>
              </c:ext>
            </c:extLst>
          </c:dPt>
          <c:dPt>
            <c:idx val="1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1-EABE-4DE8-9E08-79008D5637DA}"/>
              </c:ext>
            </c:extLst>
          </c:dPt>
          <c:dPt>
            <c:idx val="1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AE6C-4EBA-B46F-54D3AEFC70C8}"/>
              </c:ext>
            </c:extLst>
          </c:dPt>
          <c:dPt>
            <c:idx val="1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5-EABE-4DE8-9E08-79008D5637DA}"/>
              </c:ext>
            </c:extLst>
          </c:dPt>
          <c:dPt>
            <c:idx val="1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D-4C59-4571-A0EC-AF07DC26EFB8}"/>
              </c:ext>
            </c:extLst>
          </c:dPt>
          <c:dPt>
            <c:idx val="1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9-302A-40FE-8A83-A7C7D11D567A}"/>
              </c:ext>
            </c:extLst>
          </c:dPt>
          <c:dPt>
            <c:idx val="18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1-4C59-4571-A0EC-AF07DC26EFB8}"/>
              </c:ext>
            </c:extLst>
          </c:dPt>
          <c:dPt>
            <c:idx val="19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B-E8A9-4E9E-8D49-11C3D045B807}"/>
              </c:ext>
            </c:extLst>
          </c:dPt>
          <c:dPt>
            <c:idx val="20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5-4C59-4571-A0EC-AF07DC26EFB8}"/>
              </c:ext>
            </c:extLst>
          </c:dPt>
          <c:dPt>
            <c:idx val="21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B-A99A-4D19-9146-7CAF62C902E6}"/>
              </c:ext>
            </c:extLst>
          </c:dPt>
          <c:dPt>
            <c:idx val="22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F-E8A9-4E9E-8D49-11C3D045B807}"/>
              </c:ext>
            </c:extLst>
          </c:dPt>
          <c:dPt>
            <c:idx val="23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B-1F5F-4074-9566-67CD4D12EF40}"/>
              </c:ext>
            </c:extLst>
          </c:dPt>
          <c:dPt>
            <c:idx val="2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F-A99A-4D19-9146-7CAF62C902E6}"/>
              </c:ext>
            </c:extLst>
          </c:dPt>
          <c:dPt>
            <c:idx val="2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7-62DE-443A-97AD-3C7EEF438946}"/>
              </c:ext>
            </c:extLst>
          </c:dPt>
          <c:dPt>
            <c:idx val="2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F-1F5F-4074-9566-67CD4D12EF40}"/>
              </c:ext>
            </c:extLst>
          </c:dPt>
          <c:dPt>
            <c:idx val="2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D-302A-40FE-8A83-A7C7D11D567A}"/>
              </c:ext>
            </c:extLst>
          </c:dPt>
          <c:dPt>
            <c:idx val="28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7-AE6C-4EBA-B46F-54D3AEFC70C8}"/>
              </c:ext>
            </c:extLst>
          </c:dPt>
          <c:dPt>
            <c:idx val="29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1-302A-40FE-8A83-A7C7D11D567A}"/>
              </c:ext>
            </c:extLst>
          </c:dPt>
          <c:dPt>
            <c:idx val="30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B-BFB8-4CBA-8932-6FA0335E0C60}"/>
              </c:ext>
            </c:extLst>
          </c:dPt>
          <c:dPt>
            <c:idx val="31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5-302A-40FE-8A83-A7C7D11D567A}"/>
              </c:ext>
            </c:extLst>
          </c:dPt>
          <c:dPt>
            <c:idx val="32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B-C13E-4FDD-8839-B550F18AAF84}"/>
              </c:ext>
            </c:extLst>
          </c:dPt>
          <c:dPt>
            <c:idx val="33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F-BFB8-4CBA-8932-6FA0335E0C60}"/>
              </c:ext>
            </c:extLst>
          </c:dPt>
          <c:dPt>
            <c:idx val="34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B-E83F-4EE4-B5B6-46E84B373EBF}"/>
              </c:ext>
            </c:extLst>
          </c:dPt>
          <c:dPt>
            <c:idx val="35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F-C13E-4FDD-8839-B550F18AAF84}"/>
              </c:ext>
            </c:extLst>
          </c:dPt>
          <c:dPt>
            <c:idx val="36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B-3B02-40F7-AEF6-32F6199276C4}"/>
              </c:ext>
            </c:extLst>
          </c:dPt>
          <c:dPt>
            <c:idx val="37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F-E83F-4EE4-B5B6-46E84B373EBF}"/>
              </c:ext>
            </c:extLst>
          </c:dPt>
          <c:dPt>
            <c:idx val="38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B-62DE-443A-97AD-3C7EEF438946}"/>
              </c:ext>
            </c:extLst>
          </c:dPt>
          <c:dPt>
            <c:idx val="39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F-3B02-40F7-AEF6-32F6199276C4}"/>
              </c:ext>
            </c:extLst>
          </c:dPt>
          <c:dPt>
            <c:idx val="40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9-AE6C-4EBA-B46F-54D3AEFC70C8}"/>
              </c:ext>
            </c:extLst>
          </c:dPt>
          <c:dPt>
            <c:idx val="41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F-62DE-443A-97AD-3C7EEF438946}"/>
              </c:ext>
            </c:extLst>
          </c:dPt>
          <c:dPt>
            <c:idx val="42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B-AE6C-4EBA-B46F-54D3AEFC70C8}"/>
              </c:ext>
            </c:extLst>
          </c:dPt>
          <c:dPt>
            <c:idx val="43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3-62DE-443A-97AD-3C7EEF438946}"/>
              </c:ext>
            </c:extLst>
          </c:dPt>
          <c:dPt>
            <c:idx val="44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D-B623-4BED-8FC9-196F5F4E9FA5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('Données '!$C$199,'Données '!$E$199,'Données '!$G$199,'Données '!$I$199,'Données '!$K$199,'Données '!$M$199,'Données '!$O$199)</c:f>
              <c:strCache>
                <c:ptCount val="7"/>
                <c:pt idx="0">
                  <c:v>ESQ ==&gt; APD</c:v>
                </c:pt>
                <c:pt idx="1">
                  <c:v>Fin études/AO</c:v>
                </c:pt>
                <c:pt idx="2">
                  <c:v>OS</c:v>
                </c:pt>
                <c:pt idx="3">
                  <c:v>Travaux</c:v>
                </c:pt>
                <c:pt idx="4">
                  <c:v>GPA</c:v>
                </c:pt>
                <c:pt idx="5">
                  <c:v>Clôture défisc</c:v>
                </c:pt>
                <c:pt idx="6">
                  <c:v>STOP</c:v>
                </c:pt>
              </c:strCache>
            </c:strRef>
          </c:cat>
          <c:val>
            <c:numRef>
              <c:f>('Données '!$C$202,'Données '!$E$202,'Données '!$G$202,'Données '!$I$202,'Données '!$K$202,'Données '!$M$202,'Données '!$O$202)</c:f>
              <c:numCache>
                <c:formatCode>General</c:formatCode>
                <c:ptCount val="7"/>
                <c:pt idx="0">
                  <c:v>2</c:v>
                </c:pt>
                <c:pt idx="1">
                  <c:v>2</c:v>
                </c:pt>
                <c:pt idx="2">
                  <c:v>0</c:v>
                </c:pt>
                <c:pt idx="3">
                  <c:v>1</c:v>
                </c:pt>
                <c:pt idx="4">
                  <c:v>1</c:v>
                </c:pt>
                <c:pt idx="5">
                  <c:v>0</c:v>
                </c:pt>
                <c:pt idx="6">
                  <c:v>0</c:v>
                </c:pt>
              </c:numCache>
              <c:extLst/>
            </c:numRef>
          </c:val>
          <c:extLst>
            <c:ext xmlns:c16="http://schemas.microsoft.com/office/drawing/2014/chart" uri="{C3380CC4-5D6E-409C-BE32-E72D297353CC}">
              <c16:uniqueId val="{00000CC4-0D8B-40D2-9511-1D1F43A218B5}"/>
            </c:ext>
          </c:extLst>
        </c:ser>
        <c:ser>
          <c:idx val="3"/>
          <c:order val="3"/>
          <c:tx>
            <c:strRef>
              <c:f>'Données '!$B$203</c:f>
              <c:strCache>
                <c:ptCount val="1"/>
                <c:pt idx="0">
                  <c:v>DAM</c:v>
                </c:pt>
              </c:strCache>
            </c:strRef>
          </c:tx>
          <c:dPt>
            <c:idx val="0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F-AE6C-4EBA-B46F-54D3AEFC70C8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1-AE6C-4EBA-B46F-54D3AEFC70C8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F-E584-4D3C-B2C0-F71AB87A2A99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5-EABE-4DE8-9E08-79008D5637DA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3-E584-4D3C-B2C0-F71AB87A2A99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B-4C59-4571-A0EC-AF07DC26EFB8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7-E584-4D3C-B2C0-F71AB87A2A99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9-EABE-4DE8-9E08-79008D5637DA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B-E584-4D3C-B2C0-F71AB87A2A99}"/>
              </c:ext>
            </c:extLst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5-302A-40FE-8A83-A7C7D11D567A}"/>
              </c:ext>
            </c:extLst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F-E584-4D3C-B2C0-F71AB87A2A99}"/>
              </c:ext>
            </c:extLst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D-EABE-4DE8-9E08-79008D5637DA}"/>
              </c:ext>
            </c:extLst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F-4C59-4571-A0EC-AF07DC26EFB8}"/>
              </c:ext>
            </c:extLst>
          </c:dPt>
          <c:dPt>
            <c:idx val="1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1-EABE-4DE8-9E08-79008D5637DA}"/>
              </c:ext>
            </c:extLst>
          </c:dPt>
          <c:dPt>
            <c:idx val="1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3-AE6C-4EBA-B46F-54D3AEFC70C8}"/>
              </c:ext>
            </c:extLst>
          </c:dPt>
          <c:dPt>
            <c:idx val="1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5-EABE-4DE8-9E08-79008D5637DA}"/>
              </c:ext>
            </c:extLst>
          </c:dPt>
          <c:dPt>
            <c:idx val="1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3-4C59-4571-A0EC-AF07DC26EFB8}"/>
              </c:ext>
            </c:extLst>
          </c:dPt>
          <c:dPt>
            <c:idx val="1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9-302A-40FE-8A83-A7C7D11D567A}"/>
              </c:ext>
            </c:extLst>
          </c:dPt>
          <c:dPt>
            <c:idx val="18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7-4C59-4571-A0EC-AF07DC26EFB8}"/>
              </c:ext>
            </c:extLst>
          </c:dPt>
          <c:dPt>
            <c:idx val="19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7-E8A9-4E9E-8D49-11C3D045B807}"/>
              </c:ext>
            </c:extLst>
          </c:dPt>
          <c:dPt>
            <c:idx val="20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B-4C59-4571-A0EC-AF07DC26EFB8}"/>
              </c:ext>
            </c:extLst>
          </c:dPt>
          <c:dPt>
            <c:idx val="21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3-A99A-4D19-9146-7CAF62C902E6}"/>
              </c:ext>
            </c:extLst>
          </c:dPt>
          <c:dPt>
            <c:idx val="22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B-E8A9-4E9E-8D49-11C3D045B807}"/>
              </c:ext>
            </c:extLst>
          </c:dPt>
          <c:dPt>
            <c:idx val="23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F-1F5F-4074-9566-67CD4D12EF40}"/>
              </c:ext>
            </c:extLst>
          </c:dPt>
          <c:dPt>
            <c:idx val="2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7-A99A-4D19-9146-7CAF62C902E6}"/>
              </c:ext>
            </c:extLst>
          </c:dPt>
          <c:dPt>
            <c:idx val="2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D-62DE-443A-97AD-3C7EEF438946}"/>
              </c:ext>
            </c:extLst>
          </c:dPt>
          <c:dPt>
            <c:idx val="2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3-1F5F-4074-9566-67CD4D12EF40}"/>
              </c:ext>
            </c:extLst>
          </c:dPt>
          <c:dPt>
            <c:idx val="2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D-302A-40FE-8A83-A7C7D11D567A}"/>
              </c:ext>
            </c:extLst>
          </c:dPt>
          <c:dPt>
            <c:idx val="28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5-AE6C-4EBA-B46F-54D3AEFC70C8}"/>
              </c:ext>
            </c:extLst>
          </c:dPt>
          <c:dPt>
            <c:idx val="29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1-302A-40FE-8A83-A7C7D11D567A}"/>
              </c:ext>
            </c:extLst>
          </c:dPt>
          <c:dPt>
            <c:idx val="30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1-BFB8-4CBA-8932-6FA0335E0C60}"/>
              </c:ext>
            </c:extLst>
          </c:dPt>
          <c:dPt>
            <c:idx val="31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5-302A-40FE-8A83-A7C7D11D567A}"/>
              </c:ext>
            </c:extLst>
          </c:dPt>
          <c:dPt>
            <c:idx val="32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D-C13E-4FDD-8839-B550F18AAF84}"/>
              </c:ext>
            </c:extLst>
          </c:dPt>
          <c:dPt>
            <c:idx val="33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5-BFB8-4CBA-8932-6FA0335E0C60}"/>
              </c:ext>
            </c:extLst>
          </c:dPt>
          <c:dPt>
            <c:idx val="34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9-E83F-4EE4-B5B6-46E84B373EBF}"/>
              </c:ext>
            </c:extLst>
          </c:dPt>
          <c:dPt>
            <c:idx val="35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1-C13E-4FDD-8839-B550F18AAF84}"/>
              </c:ext>
            </c:extLst>
          </c:dPt>
          <c:dPt>
            <c:idx val="36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5-3B02-40F7-AEF6-32F6199276C4}"/>
              </c:ext>
            </c:extLst>
          </c:dPt>
          <c:dPt>
            <c:idx val="37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D-E83F-4EE4-B5B6-46E84B373EBF}"/>
              </c:ext>
            </c:extLst>
          </c:dPt>
          <c:dPt>
            <c:idx val="38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1-62DE-443A-97AD-3C7EEF438946}"/>
              </c:ext>
            </c:extLst>
          </c:dPt>
          <c:dPt>
            <c:idx val="39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9-3B02-40F7-AEF6-32F6199276C4}"/>
              </c:ext>
            </c:extLst>
          </c:dPt>
          <c:dPt>
            <c:idx val="40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7-AE6C-4EBA-B46F-54D3AEFC70C8}"/>
              </c:ext>
            </c:extLst>
          </c:dPt>
          <c:dPt>
            <c:idx val="41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5-62DE-443A-97AD-3C7EEF438946}"/>
              </c:ext>
            </c:extLst>
          </c:dPt>
          <c:dPt>
            <c:idx val="42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9-AE6C-4EBA-B46F-54D3AEFC70C8}"/>
              </c:ext>
            </c:extLst>
          </c:dPt>
          <c:dPt>
            <c:idx val="43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9-62DE-443A-97AD-3C7EEF438946}"/>
              </c:ext>
            </c:extLst>
          </c:dPt>
          <c:dPt>
            <c:idx val="44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B-B623-4BED-8FC9-196F5F4E9FA5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('Données '!$C$199,'Données '!$E$199,'Données '!$G$199,'Données '!$I$199,'Données '!$K$199,'Données '!$M$199,'Données '!$O$199)</c:f>
              <c:strCache>
                <c:ptCount val="7"/>
                <c:pt idx="0">
                  <c:v>ESQ ==&gt; APD</c:v>
                </c:pt>
                <c:pt idx="1">
                  <c:v>Fin études/AO</c:v>
                </c:pt>
                <c:pt idx="2">
                  <c:v>OS</c:v>
                </c:pt>
                <c:pt idx="3">
                  <c:v>Travaux</c:v>
                </c:pt>
                <c:pt idx="4">
                  <c:v>GPA</c:v>
                </c:pt>
                <c:pt idx="5">
                  <c:v>Clôture défisc</c:v>
                </c:pt>
                <c:pt idx="6">
                  <c:v>STOP</c:v>
                </c:pt>
              </c:strCache>
            </c:strRef>
          </c:cat>
          <c:val>
            <c:numRef>
              <c:f>('Données '!$C$203,'Données '!$E$203,'Données '!$G$203,'Données '!$I$203,'Données '!$K$203,'Données '!$M$203,'Données '!$O$203)</c:f>
              <c:numCache>
                <c:formatCode>General</c:formatCode>
                <c:ptCount val="7"/>
                <c:pt idx="0">
                  <c:v>0</c:v>
                </c:pt>
                <c:pt idx="1">
                  <c:v>2</c:v>
                </c:pt>
                <c:pt idx="2">
                  <c:v>0</c:v>
                </c:pt>
                <c:pt idx="3">
                  <c:v>1</c:v>
                </c:pt>
                <c:pt idx="4">
                  <c:v>0</c:v>
                </c:pt>
                <c:pt idx="5">
                  <c:v>1</c:v>
                </c:pt>
                <c:pt idx="6">
                  <c:v>0</c:v>
                </c:pt>
              </c:numCache>
              <c:extLst/>
            </c:numRef>
          </c:val>
          <c:extLst>
            <c:ext xmlns:c16="http://schemas.microsoft.com/office/drawing/2014/chart" uri="{C3380CC4-5D6E-409C-BE32-E72D297353CC}">
              <c16:uniqueId val="{00000CC5-0D8B-40D2-9511-1D1F43A218B5}"/>
            </c:ext>
          </c:extLst>
        </c:ser>
        <c:ser>
          <c:idx val="4"/>
          <c:order val="4"/>
          <c:tx>
            <c:strRef>
              <c:f>'Données '!$B$204</c:f>
              <c:strCache>
                <c:ptCount val="1"/>
                <c:pt idx="0">
                  <c:v>NLE</c:v>
                </c:pt>
              </c:strCache>
            </c:strRef>
          </c:tx>
          <c:dPt>
            <c:idx val="0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D-AE6C-4EBA-B46F-54D3AEFC70C8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F-AE6C-4EBA-B46F-54D3AEFC70C8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B9-E584-4D3C-B2C0-F71AB87A2A99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A5-EABE-4DE8-9E08-79008D5637DA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BD-E584-4D3C-B2C0-F71AB87A2A99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91-4C59-4571-A0EC-AF07DC26EFB8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C1-E584-4D3C-B2C0-F71AB87A2A99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A9-EABE-4DE8-9E08-79008D5637DA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C5-E584-4D3C-B2C0-F71AB87A2A99}"/>
              </c:ext>
            </c:extLst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5-302A-40FE-8A83-A7C7D11D567A}"/>
              </c:ext>
            </c:extLst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C9-E584-4D3C-B2C0-F71AB87A2A99}"/>
              </c:ext>
            </c:extLst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AD-EABE-4DE8-9E08-79008D5637DA}"/>
              </c:ext>
            </c:extLst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95-4C59-4571-A0EC-AF07DC26EFB8}"/>
              </c:ext>
            </c:extLst>
          </c:dPt>
          <c:dPt>
            <c:idx val="1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B1-EABE-4DE8-9E08-79008D5637DA}"/>
              </c:ext>
            </c:extLst>
          </c:dPt>
          <c:dPt>
            <c:idx val="1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1-AE6C-4EBA-B46F-54D3AEFC70C8}"/>
              </c:ext>
            </c:extLst>
          </c:dPt>
          <c:dPt>
            <c:idx val="1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B5-EABE-4DE8-9E08-79008D5637DA}"/>
              </c:ext>
            </c:extLst>
          </c:dPt>
          <c:dPt>
            <c:idx val="1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99-4C59-4571-A0EC-AF07DC26EFB8}"/>
              </c:ext>
            </c:extLst>
          </c:dPt>
          <c:dPt>
            <c:idx val="1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9-302A-40FE-8A83-A7C7D11D567A}"/>
              </c:ext>
            </c:extLst>
          </c:dPt>
          <c:dPt>
            <c:idx val="18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9D-4C59-4571-A0EC-AF07DC26EFB8}"/>
              </c:ext>
            </c:extLst>
          </c:dPt>
          <c:dPt>
            <c:idx val="19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83-E8A9-4E9E-8D49-11C3D045B807}"/>
              </c:ext>
            </c:extLst>
          </c:dPt>
          <c:dPt>
            <c:idx val="20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A1-4C59-4571-A0EC-AF07DC26EFB8}"/>
              </c:ext>
            </c:extLst>
          </c:dPt>
          <c:dPt>
            <c:idx val="21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B-A99A-4D19-9146-7CAF62C902E6}"/>
              </c:ext>
            </c:extLst>
          </c:dPt>
          <c:dPt>
            <c:idx val="22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87-E8A9-4E9E-8D49-11C3D045B807}"/>
              </c:ext>
            </c:extLst>
          </c:dPt>
          <c:dPt>
            <c:idx val="23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3-1F5F-4074-9566-67CD4D12EF40}"/>
              </c:ext>
            </c:extLst>
          </c:dPt>
          <c:dPt>
            <c:idx val="2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F-A99A-4D19-9146-7CAF62C902E6}"/>
              </c:ext>
            </c:extLst>
          </c:dPt>
          <c:dPt>
            <c:idx val="2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3-62DE-443A-97AD-3C7EEF438946}"/>
              </c:ext>
            </c:extLst>
          </c:dPt>
          <c:dPt>
            <c:idx val="2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7-1F5F-4074-9566-67CD4D12EF40}"/>
              </c:ext>
            </c:extLst>
          </c:dPt>
          <c:dPt>
            <c:idx val="2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D-302A-40FE-8A83-A7C7D11D567A}"/>
              </c:ext>
            </c:extLst>
          </c:dPt>
          <c:dPt>
            <c:idx val="28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3-AE6C-4EBA-B46F-54D3AEFC70C8}"/>
              </c:ext>
            </c:extLst>
          </c:dPt>
          <c:dPt>
            <c:idx val="29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1-302A-40FE-8A83-A7C7D11D567A}"/>
              </c:ext>
            </c:extLst>
          </c:dPt>
          <c:dPt>
            <c:idx val="30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7-BFB8-4CBA-8932-6FA0335E0C60}"/>
              </c:ext>
            </c:extLst>
          </c:dPt>
          <c:dPt>
            <c:idx val="31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5-302A-40FE-8A83-A7C7D11D567A}"/>
              </c:ext>
            </c:extLst>
          </c:dPt>
          <c:dPt>
            <c:idx val="32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F-C13E-4FDD-8839-B550F18AAF84}"/>
              </c:ext>
            </c:extLst>
          </c:dPt>
          <c:dPt>
            <c:idx val="33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B-BFB8-4CBA-8932-6FA0335E0C60}"/>
              </c:ext>
            </c:extLst>
          </c:dPt>
          <c:dPt>
            <c:idx val="34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7-E83F-4EE4-B5B6-46E84B373EBF}"/>
              </c:ext>
            </c:extLst>
          </c:dPt>
          <c:dPt>
            <c:idx val="35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3-C13E-4FDD-8839-B550F18AAF84}"/>
              </c:ext>
            </c:extLst>
          </c:dPt>
          <c:dPt>
            <c:idx val="36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F-3B02-40F7-AEF6-32F6199276C4}"/>
              </c:ext>
            </c:extLst>
          </c:dPt>
          <c:dPt>
            <c:idx val="37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B-E83F-4EE4-B5B6-46E84B373EBF}"/>
              </c:ext>
            </c:extLst>
          </c:dPt>
          <c:dPt>
            <c:idx val="38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7-62DE-443A-97AD-3C7EEF438946}"/>
              </c:ext>
            </c:extLst>
          </c:dPt>
          <c:dPt>
            <c:idx val="39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3-3B02-40F7-AEF6-32F6199276C4}"/>
              </c:ext>
            </c:extLst>
          </c:dPt>
          <c:dPt>
            <c:idx val="40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5-AE6C-4EBA-B46F-54D3AEFC70C8}"/>
              </c:ext>
            </c:extLst>
          </c:dPt>
          <c:dPt>
            <c:idx val="41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B-62DE-443A-97AD-3C7EEF438946}"/>
              </c:ext>
            </c:extLst>
          </c:dPt>
          <c:dPt>
            <c:idx val="42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7-AE6C-4EBA-B46F-54D3AEFC70C8}"/>
              </c:ext>
            </c:extLst>
          </c:dPt>
          <c:dPt>
            <c:idx val="43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F-62DE-443A-97AD-3C7EEF438946}"/>
              </c:ext>
            </c:extLst>
          </c:dPt>
          <c:dPt>
            <c:idx val="44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9-B623-4BED-8FC9-196F5F4E9FA5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('Données '!$C$199,'Données '!$E$199,'Données '!$G$199,'Données '!$I$199,'Données '!$K$199,'Données '!$M$199,'Données '!$O$199)</c:f>
              <c:strCache>
                <c:ptCount val="7"/>
                <c:pt idx="0">
                  <c:v>ESQ ==&gt; APD</c:v>
                </c:pt>
                <c:pt idx="1">
                  <c:v>Fin études/AO</c:v>
                </c:pt>
                <c:pt idx="2">
                  <c:v>OS</c:v>
                </c:pt>
                <c:pt idx="3">
                  <c:v>Travaux</c:v>
                </c:pt>
                <c:pt idx="4">
                  <c:v>GPA</c:v>
                </c:pt>
                <c:pt idx="5">
                  <c:v>Clôture défisc</c:v>
                </c:pt>
                <c:pt idx="6">
                  <c:v>STOP</c:v>
                </c:pt>
              </c:strCache>
            </c:strRef>
          </c:cat>
          <c:val>
            <c:numRef>
              <c:f>('Données '!$C$204,'Données '!$E$204,'Données '!$G$204,'Données '!$I$204,'Données '!$K$204,'Données '!$M$204,'Données '!$O$204)</c:f>
              <c:numCache>
                <c:formatCode>General</c:formatCode>
                <c:ptCount val="7"/>
                <c:pt idx="0">
                  <c:v>0</c:v>
                </c:pt>
                <c:pt idx="1">
                  <c:v>4</c:v>
                </c:pt>
                <c:pt idx="2">
                  <c:v>0</c:v>
                </c:pt>
                <c:pt idx="3">
                  <c:v>2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  <c:extLst/>
            </c:numRef>
          </c:val>
          <c:extLst>
            <c:ext xmlns:c16="http://schemas.microsoft.com/office/drawing/2014/chart" uri="{C3380CC4-5D6E-409C-BE32-E72D297353CC}">
              <c16:uniqueId val="{00000CC6-0D8B-40D2-9511-1D1F43A218B5}"/>
            </c:ext>
          </c:extLst>
        </c:ser>
        <c:ser>
          <c:idx val="5"/>
          <c:order val="5"/>
          <c:tx>
            <c:strRef>
              <c:f>'Données initiales'!#REF!</c:f>
              <c:strCache>
                <c:ptCount val="1"/>
                <c:pt idx="0">
                  <c:v>#REF!</c:v>
                </c:pt>
              </c:strCache>
            </c:strRef>
          </c:tx>
          <c:dPt>
            <c:idx val="0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B-AE6C-4EBA-B46F-54D3AEFC70C8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D-AE6C-4EBA-B46F-54D3AEFC70C8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13-E584-4D3C-B2C0-F71AB87A2A99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F5-EABE-4DE8-9E08-79008D5637DA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17-E584-4D3C-B2C0-F71AB87A2A99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D7-4C59-4571-A0EC-AF07DC26EFB8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1B-E584-4D3C-B2C0-F71AB87A2A99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F9-EABE-4DE8-9E08-79008D5637DA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1F-E584-4D3C-B2C0-F71AB87A2A99}"/>
              </c:ext>
            </c:extLst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95-302A-40FE-8A83-A7C7D11D567A}"/>
              </c:ext>
            </c:extLst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23-E584-4D3C-B2C0-F71AB87A2A99}"/>
              </c:ext>
            </c:extLst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FD-EABE-4DE8-9E08-79008D5637DA}"/>
              </c:ext>
            </c:extLst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DB-4C59-4571-A0EC-AF07DC26EFB8}"/>
              </c:ext>
            </c:extLst>
          </c:dPt>
          <c:dPt>
            <c:idx val="1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01-EABE-4DE8-9E08-79008D5637DA}"/>
              </c:ext>
            </c:extLst>
          </c:dPt>
          <c:dPt>
            <c:idx val="1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F-AE6C-4EBA-B46F-54D3AEFC70C8}"/>
              </c:ext>
            </c:extLst>
          </c:dPt>
          <c:dPt>
            <c:idx val="1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05-EABE-4DE8-9E08-79008D5637DA}"/>
              </c:ext>
            </c:extLst>
          </c:dPt>
          <c:dPt>
            <c:idx val="1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DF-4C59-4571-A0EC-AF07DC26EFB8}"/>
              </c:ext>
            </c:extLst>
          </c:dPt>
          <c:dPt>
            <c:idx val="1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99-302A-40FE-8A83-A7C7D11D567A}"/>
              </c:ext>
            </c:extLst>
          </c:dPt>
          <c:dPt>
            <c:idx val="18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E3-4C59-4571-A0EC-AF07DC26EFB8}"/>
              </c:ext>
            </c:extLst>
          </c:dPt>
          <c:dPt>
            <c:idx val="19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BF-E8A9-4E9E-8D49-11C3D045B807}"/>
              </c:ext>
            </c:extLst>
          </c:dPt>
          <c:dPt>
            <c:idx val="20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E7-4C59-4571-A0EC-AF07DC26EFB8}"/>
              </c:ext>
            </c:extLst>
          </c:dPt>
          <c:dPt>
            <c:idx val="21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B3-A99A-4D19-9146-7CAF62C902E6}"/>
              </c:ext>
            </c:extLst>
          </c:dPt>
          <c:dPt>
            <c:idx val="22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C3-E8A9-4E9E-8D49-11C3D045B807}"/>
              </c:ext>
            </c:extLst>
          </c:dPt>
          <c:dPt>
            <c:idx val="23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A7-1F5F-4074-9566-67CD4D12EF40}"/>
              </c:ext>
            </c:extLst>
          </c:dPt>
          <c:dPt>
            <c:idx val="2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B7-A99A-4D19-9146-7CAF62C902E6}"/>
              </c:ext>
            </c:extLst>
          </c:dPt>
          <c:dPt>
            <c:idx val="2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9-62DE-443A-97AD-3C7EEF438946}"/>
              </c:ext>
            </c:extLst>
          </c:dPt>
          <c:dPt>
            <c:idx val="2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AB-1F5F-4074-9566-67CD4D12EF40}"/>
              </c:ext>
            </c:extLst>
          </c:dPt>
          <c:dPt>
            <c:idx val="2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9D-302A-40FE-8A83-A7C7D11D567A}"/>
              </c:ext>
            </c:extLst>
          </c:dPt>
          <c:dPt>
            <c:idx val="28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1-AE6C-4EBA-B46F-54D3AEFC70C8}"/>
              </c:ext>
            </c:extLst>
          </c:dPt>
          <c:dPt>
            <c:idx val="29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A1-302A-40FE-8A83-A7C7D11D567A}"/>
              </c:ext>
            </c:extLst>
          </c:dPt>
          <c:dPt>
            <c:idx val="30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D-BFB8-4CBA-8932-6FA0335E0C60}"/>
              </c:ext>
            </c:extLst>
          </c:dPt>
          <c:dPt>
            <c:idx val="31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A5-302A-40FE-8A83-A7C7D11D567A}"/>
              </c:ext>
            </c:extLst>
          </c:dPt>
          <c:dPt>
            <c:idx val="32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1-C13E-4FDD-8839-B550F18AAF84}"/>
              </c:ext>
            </c:extLst>
          </c:dPt>
          <c:dPt>
            <c:idx val="33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81-BFB8-4CBA-8932-6FA0335E0C60}"/>
              </c:ext>
            </c:extLst>
          </c:dPt>
          <c:dPt>
            <c:idx val="34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5-E83F-4EE4-B5B6-46E84B373EBF}"/>
              </c:ext>
            </c:extLst>
          </c:dPt>
          <c:dPt>
            <c:idx val="35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5-C13E-4FDD-8839-B550F18AAF84}"/>
              </c:ext>
            </c:extLst>
          </c:dPt>
          <c:dPt>
            <c:idx val="36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9-3B02-40F7-AEF6-32F6199276C4}"/>
              </c:ext>
            </c:extLst>
          </c:dPt>
          <c:dPt>
            <c:idx val="37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9-E83F-4EE4-B5B6-46E84B373EBF}"/>
              </c:ext>
            </c:extLst>
          </c:dPt>
          <c:dPt>
            <c:idx val="38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D-62DE-443A-97AD-3C7EEF438946}"/>
              </c:ext>
            </c:extLst>
          </c:dPt>
          <c:dPt>
            <c:idx val="39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D-3B02-40F7-AEF6-32F6199276C4}"/>
              </c:ext>
            </c:extLst>
          </c:dPt>
          <c:dPt>
            <c:idx val="40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3-AE6C-4EBA-B46F-54D3AEFC70C8}"/>
              </c:ext>
            </c:extLst>
          </c:dPt>
          <c:dPt>
            <c:idx val="41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1-62DE-443A-97AD-3C7EEF438946}"/>
              </c:ext>
            </c:extLst>
          </c:dPt>
          <c:dPt>
            <c:idx val="42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5-AE6C-4EBA-B46F-54D3AEFC70C8}"/>
              </c:ext>
            </c:extLst>
          </c:dPt>
          <c:dPt>
            <c:idx val="43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5-62DE-443A-97AD-3C7EEF438946}"/>
              </c:ext>
            </c:extLst>
          </c:dPt>
          <c:dPt>
            <c:idx val="44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7-B623-4BED-8FC9-196F5F4E9FA5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('Données '!$C$199,'Données '!$E$199,'Données '!$G$199,'Données '!$I$199,'Données '!$K$199,'Données '!$M$199,'Données '!$O$199)</c:f>
              <c:strCache>
                <c:ptCount val="7"/>
                <c:pt idx="0">
                  <c:v>ESQ ==&gt; APD</c:v>
                </c:pt>
                <c:pt idx="1">
                  <c:v>Fin études/AO</c:v>
                </c:pt>
                <c:pt idx="2">
                  <c:v>OS</c:v>
                </c:pt>
                <c:pt idx="3">
                  <c:v>Travaux</c:v>
                </c:pt>
                <c:pt idx="4">
                  <c:v>GPA</c:v>
                </c:pt>
                <c:pt idx="5">
                  <c:v>Clôture défisc</c:v>
                </c:pt>
                <c:pt idx="6">
                  <c:v>STOP</c:v>
                </c:pt>
              </c:strCache>
            </c:strRef>
          </c:cat>
          <c:val>
            <c:numRef>
              <c:f>'Données initiales'!#REF!</c:f>
              <c:numCache>
                <c:formatCode>General</c:formatCode>
                <c:ptCount val="1"/>
                <c:pt idx="0">
                  <c:v>1</c:v>
                </c:pt>
              </c:numCache>
              <c:extLst/>
            </c:numRef>
          </c:val>
          <c:extLst>
            <c:ext xmlns:c16="http://schemas.microsoft.com/office/drawing/2014/chart" uri="{C3380CC4-5D6E-409C-BE32-E72D297353CC}">
              <c16:uniqueId val="{00000CC7-0D8B-40D2-9511-1D1F43A218B5}"/>
            </c:ext>
          </c:extLst>
        </c:ser>
        <c:ser>
          <c:idx val="6"/>
          <c:order val="6"/>
          <c:tx>
            <c:strRef>
              <c:f>'Données '!$B$205</c:f>
              <c:strCache>
                <c:ptCount val="1"/>
                <c:pt idx="0">
                  <c:v>SRI</c:v>
                </c:pt>
              </c:strCache>
            </c:strRef>
          </c:tx>
          <c:dPt>
            <c:idx val="0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9-AE6C-4EBA-B46F-54D3AEFC70C8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B-AE6C-4EBA-B46F-54D3AEFC70C8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6D-E584-4D3C-B2C0-F71AB87A2A99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45-EABE-4DE8-9E08-79008D5637DA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71-E584-4D3C-B2C0-F71AB87A2A99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1D-4C59-4571-A0EC-AF07DC26EFB8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75-E584-4D3C-B2C0-F71AB87A2A99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49-EABE-4DE8-9E08-79008D5637DA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79-E584-4D3C-B2C0-F71AB87A2A99}"/>
              </c:ext>
            </c:extLst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C5-302A-40FE-8A83-A7C7D11D567A}"/>
              </c:ext>
            </c:extLst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7D-E584-4D3C-B2C0-F71AB87A2A99}"/>
              </c:ext>
            </c:extLst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4D-EABE-4DE8-9E08-79008D5637DA}"/>
              </c:ext>
            </c:extLst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21-4C59-4571-A0EC-AF07DC26EFB8}"/>
              </c:ext>
            </c:extLst>
          </c:dPt>
          <c:dPt>
            <c:idx val="1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51-EABE-4DE8-9E08-79008D5637DA}"/>
              </c:ext>
            </c:extLst>
          </c:dPt>
          <c:dPt>
            <c:idx val="1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D-AE6C-4EBA-B46F-54D3AEFC70C8}"/>
              </c:ext>
            </c:extLst>
          </c:dPt>
          <c:dPt>
            <c:idx val="1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55-EABE-4DE8-9E08-79008D5637DA}"/>
              </c:ext>
            </c:extLst>
          </c:dPt>
          <c:dPt>
            <c:idx val="1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25-4C59-4571-A0EC-AF07DC26EFB8}"/>
              </c:ext>
            </c:extLst>
          </c:dPt>
          <c:dPt>
            <c:idx val="1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C9-302A-40FE-8A83-A7C7D11D567A}"/>
              </c:ext>
            </c:extLst>
          </c:dPt>
          <c:dPt>
            <c:idx val="18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29-4C59-4571-A0EC-AF07DC26EFB8}"/>
              </c:ext>
            </c:extLst>
          </c:dPt>
          <c:dPt>
            <c:idx val="19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FB-E8A9-4E9E-8D49-11C3D045B807}"/>
              </c:ext>
            </c:extLst>
          </c:dPt>
          <c:dPt>
            <c:idx val="20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2D-4C59-4571-A0EC-AF07DC26EFB8}"/>
              </c:ext>
            </c:extLst>
          </c:dPt>
          <c:dPt>
            <c:idx val="21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EB-A99A-4D19-9146-7CAF62C902E6}"/>
              </c:ext>
            </c:extLst>
          </c:dPt>
          <c:dPt>
            <c:idx val="22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FF-E8A9-4E9E-8D49-11C3D045B807}"/>
              </c:ext>
            </c:extLst>
          </c:dPt>
          <c:dPt>
            <c:idx val="23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DB-1F5F-4074-9566-67CD4D12EF40}"/>
              </c:ext>
            </c:extLst>
          </c:dPt>
          <c:dPt>
            <c:idx val="2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EF-A99A-4D19-9146-7CAF62C902E6}"/>
              </c:ext>
            </c:extLst>
          </c:dPt>
          <c:dPt>
            <c:idx val="2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F-62DE-443A-97AD-3C7EEF438946}"/>
              </c:ext>
            </c:extLst>
          </c:dPt>
          <c:dPt>
            <c:idx val="2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DF-1F5F-4074-9566-67CD4D12EF40}"/>
              </c:ext>
            </c:extLst>
          </c:dPt>
          <c:dPt>
            <c:idx val="2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CD-302A-40FE-8A83-A7C7D11D567A}"/>
              </c:ext>
            </c:extLst>
          </c:dPt>
          <c:dPt>
            <c:idx val="28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F-AE6C-4EBA-B46F-54D3AEFC70C8}"/>
              </c:ext>
            </c:extLst>
          </c:dPt>
          <c:dPt>
            <c:idx val="29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D1-302A-40FE-8A83-A7C7D11D567A}"/>
              </c:ext>
            </c:extLst>
          </c:dPt>
          <c:dPt>
            <c:idx val="30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A3-BFB8-4CBA-8932-6FA0335E0C60}"/>
              </c:ext>
            </c:extLst>
          </c:dPt>
          <c:dPt>
            <c:idx val="31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D5-302A-40FE-8A83-A7C7D11D567A}"/>
              </c:ext>
            </c:extLst>
          </c:dPt>
          <c:dPt>
            <c:idx val="32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93-C13E-4FDD-8839-B550F18AAF84}"/>
              </c:ext>
            </c:extLst>
          </c:dPt>
          <c:dPt>
            <c:idx val="33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A7-BFB8-4CBA-8932-6FA0335E0C60}"/>
              </c:ext>
            </c:extLst>
          </c:dPt>
          <c:dPt>
            <c:idx val="34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83-E83F-4EE4-B5B6-46E84B373EBF}"/>
              </c:ext>
            </c:extLst>
          </c:dPt>
          <c:dPt>
            <c:idx val="35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97-C13E-4FDD-8839-B550F18AAF84}"/>
              </c:ext>
            </c:extLst>
          </c:dPt>
          <c:dPt>
            <c:idx val="36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3-3B02-40F7-AEF6-32F6199276C4}"/>
              </c:ext>
            </c:extLst>
          </c:dPt>
          <c:dPt>
            <c:idx val="37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87-E83F-4EE4-B5B6-46E84B373EBF}"/>
              </c:ext>
            </c:extLst>
          </c:dPt>
          <c:dPt>
            <c:idx val="38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3-62DE-443A-97AD-3C7EEF438946}"/>
              </c:ext>
            </c:extLst>
          </c:dPt>
          <c:dPt>
            <c:idx val="39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7-3B02-40F7-AEF6-32F6199276C4}"/>
              </c:ext>
            </c:extLst>
          </c:dPt>
          <c:dPt>
            <c:idx val="40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1-AE6C-4EBA-B46F-54D3AEFC70C8}"/>
              </c:ext>
            </c:extLst>
          </c:dPt>
          <c:dPt>
            <c:idx val="41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7-62DE-443A-97AD-3C7EEF438946}"/>
              </c:ext>
            </c:extLst>
          </c:dPt>
          <c:dPt>
            <c:idx val="42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3-AE6C-4EBA-B46F-54D3AEFC70C8}"/>
              </c:ext>
            </c:extLst>
          </c:dPt>
          <c:dPt>
            <c:idx val="43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B-62DE-443A-97AD-3C7EEF438946}"/>
              </c:ext>
            </c:extLst>
          </c:dPt>
          <c:dPt>
            <c:idx val="44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5-B623-4BED-8FC9-196F5F4E9FA5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('Données '!$C$199,'Données '!$E$199,'Données '!$G$199,'Données '!$I$199,'Données '!$K$199,'Données '!$M$199,'Données '!$O$199)</c:f>
              <c:strCache>
                <c:ptCount val="7"/>
                <c:pt idx="0">
                  <c:v>ESQ ==&gt; APD</c:v>
                </c:pt>
                <c:pt idx="1">
                  <c:v>Fin études/AO</c:v>
                </c:pt>
                <c:pt idx="2">
                  <c:v>OS</c:v>
                </c:pt>
                <c:pt idx="3">
                  <c:v>Travaux</c:v>
                </c:pt>
                <c:pt idx="4">
                  <c:v>GPA</c:v>
                </c:pt>
                <c:pt idx="5">
                  <c:v>Clôture défisc</c:v>
                </c:pt>
                <c:pt idx="6">
                  <c:v>STOP</c:v>
                </c:pt>
              </c:strCache>
            </c:strRef>
          </c:cat>
          <c:val>
            <c:numRef>
              <c:f>('Données '!$C$205,'Données '!$E$205,'Données '!$G$205,'Données '!$I$205,'Données '!$K$205,'Données '!$M$205,'Données '!$O$205)</c:f>
              <c:numCache>
                <c:formatCode>General</c:formatCode>
                <c:ptCount val="7"/>
                <c:pt idx="0">
                  <c:v>1</c:v>
                </c:pt>
                <c:pt idx="1">
                  <c:v>0</c:v>
                </c:pt>
                <c:pt idx="2">
                  <c:v>0</c:v>
                </c:pt>
                <c:pt idx="3">
                  <c:v>2</c:v>
                </c:pt>
                <c:pt idx="4">
                  <c:v>0</c:v>
                </c:pt>
                <c:pt idx="5">
                  <c:v>1</c:v>
                </c:pt>
                <c:pt idx="6">
                  <c:v>0</c:v>
                </c:pt>
              </c:numCache>
              <c:extLst/>
            </c:numRef>
          </c:val>
          <c:extLst>
            <c:ext xmlns:c16="http://schemas.microsoft.com/office/drawing/2014/chart" uri="{C3380CC4-5D6E-409C-BE32-E72D297353CC}">
              <c16:uniqueId val="{00000CC8-0D8B-40D2-9511-1D1F43A218B5}"/>
            </c:ext>
          </c:extLst>
        </c:ser>
        <c:ser>
          <c:idx val="7"/>
          <c:order val="7"/>
          <c:tx>
            <c:strRef>
              <c:f>'Données '!$B$206</c:f>
              <c:strCache>
                <c:ptCount val="1"/>
                <c:pt idx="0">
                  <c:v>VAF</c:v>
                </c:pt>
              </c:strCache>
            </c:strRef>
          </c:tx>
          <c:dPt>
            <c:idx val="0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7-AE6C-4EBA-B46F-54D3AEFC70C8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9-AE6C-4EBA-B46F-54D3AEFC70C8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C7-E584-4D3C-B2C0-F71AB87A2A99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95-EABE-4DE8-9E08-79008D5637DA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CB-E584-4D3C-B2C0-F71AB87A2A99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63-4C59-4571-A0EC-AF07DC26EFB8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CF-E584-4D3C-B2C0-F71AB87A2A99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99-EABE-4DE8-9E08-79008D5637DA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D3-E584-4D3C-B2C0-F71AB87A2A99}"/>
              </c:ext>
            </c:extLst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F5-302A-40FE-8A83-A7C7D11D567A}"/>
              </c:ext>
            </c:extLst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D7-E584-4D3C-B2C0-F71AB87A2A99}"/>
              </c:ext>
            </c:extLst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9D-EABE-4DE8-9E08-79008D5637DA}"/>
              </c:ext>
            </c:extLst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67-4C59-4571-A0EC-AF07DC26EFB8}"/>
              </c:ext>
            </c:extLst>
          </c:dPt>
          <c:dPt>
            <c:idx val="1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A1-EABE-4DE8-9E08-79008D5637DA}"/>
              </c:ext>
            </c:extLst>
          </c:dPt>
          <c:dPt>
            <c:idx val="1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B-AE6C-4EBA-B46F-54D3AEFC70C8}"/>
              </c:ext>
            </c:extLst>
          </c:dPt>
          <c:dPt>
            <c:idx val="1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A5-EABE-4DE8-9E08-79008D5637DA}"/>
              </c:ext>
            </c:extLst>
          </c:dPt>
          <c:dPt>
            <c:idx val="1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6B-4C59-4571-A0EC-AF07DC26EFB8}"/>
              </c:ext>
            </c:extLst>
          </c:dPt>
          <c:dPt>
            <c:idx val="1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F9-302A-40FE-8A83-A7C7D11D567A}"/>
              </c:ext>
            </c:extLst>
          </c:dPt>
          <c:dPt>
            <c:idx val="18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6F-4C59-4571-A0EC-AF07DC26EFB8}"/>
              </c:ext>
            </c:extLst>
          </c:dPt>
          <c:dPt>
            <c:idx val="19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37-E8A9-4E9E-8D49-11C3D045B807}"/>
              </c:ext>
            </c:extLst>
          </c:dPt>
          <c:dPt>
            <c:idx val="20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73-4C59-4571-A0EC-AF07DC26EFB8}"/>
              </c:ext>
            </c:extLst>
          </c:dPt>
          <c:dPt>
            <c:idx val="21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23-A99A-4D19-9146-7CAF62C902E6}"/>
              </c:ext>
            </c:extLst>
          </c:dPt>
          <c:dPt>
            <c:idx val="22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3B-E8A9-4E9E-8D49-11C3D045B807}"/>
              </c:ext>
            </c:extLst>
          </c:dPt>
          <c:dPt>
            <c:idx val="23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0F-1F5F-4074-9566-67CD4D12EF40}"/>
              </c:ext>
            </c:extLst>
          </c:dPt>
          <c:dPt>
            <c:idx val="2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27-A99A-4D19-9146-7CAF62C902E6}"/>
              </c:ext>
            </c:extLst>
          </c:dPt>
          <c:dPt>
            <c:idx val="2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5-62DE-443A-97AD-3C7EEF438946}"/>
              </c:ext>
            </c:extLst>
          </c:dPt>
          <c:dPt>
            <c:idx val="2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13-1F5F-4074-9566-67CD4D12EF40}"/>
              </c:ext>
            </c:extLst>
          </c:dPt>
          <c:dPt>
            <c:idx val="2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FD-302A-40FE-8A83-A7C7D11D567A}"/>
              </c:ext>
            </c:extLst>
          </c:dPt>
          <c:dPt>
            <c:idx val="28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D-AE6C-4EBA-B46F-54D3AEFC70C8}"/>
              </c:ext>
            </c:extLst>
          </c:dPt>
          <c:dPt>
            <c:idx val="29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01-302A-40FE-8A83-A7C7D11D567A}"/>
              </c:ext>
            </c:extLst>
          </c:dPt>
          <c:dPt>
            <c:idx val="30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C9-BFB8-4CBA-8932-6FA0335E0C60}"/>
              </c:ext>
            </c:extLst>
          </c:dPt>
          <c:dPt>
            <c:idx val="31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05-302A-40FE-8A83-A7C7D11D567A}"/>
              </c:ext>
            </c:extLst>
          </c:dPt>
          <c:dPt>
            <c:idx val="32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B5-C13E-4FDD-8839-B550F18AAF84}"/>
              </c:ext>
            </c:extLst>
          </c:dPt>
          <c:dPt>
            <c:idx val="33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CD-BFB8-4CBA-8932-6FA0335E0C60}"/>
              </c:ext>
            </c:extLst>
          </c:dPt>
          <c:dPt>
            <c:idx val="34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A1-E83F-4EE4-B5B6-46E84B373EBF}"/>
              </c:ext>
            </c:extLst>
          </c:dPt>
          <c:dPt>
            <c:idx val="35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B9-C13E-4FDD-8839-B550F18AAF84}"/>
              </c:ext>
            </c:extLst>
          </c:dPt>
          <c:dPt>
            <c:idx val="36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8D-3B02-40F7-AEF6-32F6199276C4}"/>
              </c:ext>
            </c:extLst>
          </c:dPt>
          <c:dPt>
            <c:idx val="37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A5-E83F-4EE4-B5B6-46E84B373EBF}"/>
              </c:ext>
            </c:extLst>
          </c:dPt>
          <c:dPt>
            <c:idx val="38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9-62DE-443A-97AD-3C7EEF438946}"/>
              </c:ext>
            </c:extLst>
          </c:dPt>
          <c:dPt>
            <c:idx val="39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91-3B02-40F7-AEF6-32F6199276C4}"/>
              </c:ext>
            </c:extLst>
          </c:dPt>
          <c:dPt>
            <c:idx val="40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F-AE6C-4EBA-B46F-54D3AEFC70C8}"/>
              </c:ext>
            </c:extLst>
          </c:dPt>
          <c:dPt>
            <c:idx val="41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D-62DE-443A-97AD-3C7EEF438946}"/>
              </c:ext>
            </c:extLst>
          </c:dPt>
          <c:dPt>
            <c:idx val="42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1-AE6C-4EBA-B46F-54D3AEFC70C8}"/>
              </c:ext>
            </c:extLst>
          </c:dPt>
          <c:dPt>
            <c:idx val="43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81-62DE-443A-97AD-3C7EEF438946}"/>
              </c:ext>
            </c:extLst>
          </c:dPt>
          <c:dPt>
            <c:idx val="44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3-B623-4BED-8FC9-196F5F4E9FA5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('Données '!$C$199,'Données '!$E$199,'Données '!$G$199,'Données '!$I$199,'Données '!$K$199,'Données '!$M$199,'Données '!$O$199)</c:f>
              <c:strCache>
                <c:ptCount val="7"/>
                <c:pt idx="0">
                  <c:v>ESQ ==&gt; APD</c:v>
                </c:pt>
                <c:pt idx="1">
                  <c:v>Fin études/AO</c:v>
                </c:pt>
                <c:pt idx="2">
                  <c:v>OS</c:v>
                </c:pt>
                <c:pt idx="3">
                  <c:v>Travaux</c:v>
                </c:pt>
                <c:pt idx="4">
                  <c:v>GPA</c:v>
                </c:pt>
                <c:pt idx="5">
                  <c:v>Clôture défisc</c:v>
                </c:pt>
                <c:pt idx="6">
                  <c:v>STOP</c:v>
                </c:pt>
              </c:strCache>
            </c:strRef>
          </c:cat>
          <c:val>
            <c:numRef>
              <c:f>('Données '!$C$206,'Données '!$E$206,'Données '!$G$206,'Données '!$I$206,'Données '!$K$206,'Données '!$M$206,'Données '!$O$206)</c:f>
              <c:numCache>
                <c:formatCode>General</c:formatCode>
                <c:ptCount val="7"/>
                <c:pt idx="0">
                  <c:v>2</c:v>
                </c:pt>
                <c:pt idx="1">
                  <c:v>1</c:v>
                </c:pt>
                <c:pt idx="2">
                  <c:v>0</c:v>
                </c:pt>
                <c:pt idx="3">
                  <c:v>3</c:v>
                </c:pt>
                <c:pt idx="4">
                  <c:v>3</c:v>
                </c:pt>
                <c:pt idx="5">
                  <c:v>1</c:v>
                </c:pt>
                <c:pt idx="6">
                  <c:v>0</c:v>
                </c:pt>
              </c:numCache>
              <c:extLst/>
            </c:numRef>
          </c:val>
          <c:extLst>
            <c:ext xmlns:c16="http://schemas.microsoft.com/office/drawing/2014/chart" uri="{C3380CC4-5D6E-409C-BE32-E72D297353CC}">
              <c16:uniqueId val="{00000CC9-0D8B-40D2-9511-1D1F43A218B5}"/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  <c:extLst>
          <c:ext xmlns:c15="http://schemas.microsoft.com/office/drawing/2012/chart" uri="{02D57815-91ED-43cb-92C2-25804820EDAC}">
            <c15:filteredPieSeries>
              <c15:ser>
                <c:idx val="0"/>
                <c:order val="0"/>
                <c:tx>
                  <c:strRef>
                    <c:extLst>
                      <c:ext uri="{02D57815-91ED-43cb-92C2-25804820EDAC}">
                        <c15:formulaRef>
                          <c15:sqref>'Données '!$B$200</c15:sqref>
                        </c15:formulaRef>
                      </c:ext>
                    </c:extLst>
                    <c:strCache>
                      <c:ptCount val="1"/>
                      <c:pt idx="0">
                        <c:v>DBE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D15-5D1C-4855-B586-1E797F9B3998}"/>
                    </c:ext>
                  </c:extLst>
                </c:dPt>
                <c:dPt>
                  <c:idx val="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57-AE6C-4EBA-B46F-54D3AEFC70C8}"/>
                    </c:ext>
                  </c:extLst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21-E584-4D3C-B2C0-F71AB87A2A99}"/>
                    </c:ext>
                  </c:extLst>
                </c:dPt>
                <c:dPt>
                  <c:idx val="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E5-EABE-4DE8-9E08-79008D5637DA}"/>
                    </c:ext>
                  </c:extLst>
                </c:dPt>
                <c:dPt>
                  <c:idx val="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25-E584-4D3C-B2C0-F71AB87A2A99}"/>
                    </c:ext>
                  </c:extLst>
                </c:dPt>
                <c:dPt>
                  <c:idx val="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A9-4C59-4571-A0EC-AF07DC26EFB8}"/>
                    </c:ext>
                  </c:extLst>
                </c:dPt>
                <c:dPt>
                  <c:idx val="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29-E584-4D3C-B2C0-F71AB87A2A99}"/>
                    </c:ext>
                  </c:extLst>
                </c:dPt>
                <c:dPt>
                  <c:idx val="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E9-EABE-4DE8-9E08-79008D5637DA}"/>
                    </c:ext>
                  </c:extLst>
                </c:dPt>
                <c:dPt>
                  <c:idx val="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2D-E584-4D3C-B2C0-F71AB87A2A99}"/>
                    </c:ext>
                  </c:extLst>
                </c:dPt>
                <c:dPt>
                  <c:idx val="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25-302A-40FE-8A83-A7C7D11D567A}"/>
                    </c:ext>
                  </c:extLst>
                </c:dPt>
                <c:dPt>
                  <c:idx val="1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31-E584-4D3C-B2C0-F71AB87A2A99}"/>
                    </c:ext>
                  </c:extLst>
                </c:dPt>
                <c:dPt>
                  <c:idx val="1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ED-EABE-4DE8-9E08-79008D5637DA}"/>
                    </c:ext>
                  </c:extLst>
                </c:dPt>
                <c:dPt>
                  <c:idx val="1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AD-4C59-4571-A0EC-AF07DC26EFB8}"/>
                    </c:ext>
                  </c:extLst>
                </c:dPt>
                <c:dPt>
                  <c:idx val="1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F1-EABE-4DE8-9E08-79008D5637DA}"/>
                    </c:ext>
                  </c:extLst>
                </c:dPt>
                <c:dPt>
                  <c:idx val="1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59-AE6C-4EBA-B46F-54D3AEFC70C8}"/>
                    </c:ext>
                  </c:extLst>
                </c:dPt>
                <c:dPt>
                  <c:idx val="1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F5-EABE-4DE8-9E08-79008D5637DA}"/>
                    </c:ext>
                  </c:extLst>
                </c:dPt>
                <c:dPt>
                  <c:idx val="1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B1-4C59-4571-A0EC-AF07DC26EFB8}"/>
                    </c:ext>
                  </c:extLst>
                </c:dPt>
                <c:dPt>
                  <c:idx val="1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29-302A-40FE-8A83-A7C7D11D567A}"/>
                    </c:ext>
                  </c:extLst>
                </c:dPt>
                <c:dPt>
                  <c:idx val="1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B5-4C59-4571-A0EC-AF07DC26EFB8}"/>
                    </c:ext>
                  </c:extLst>
                </c:dPt>
                <c:dPt>
                  <c:idx val="1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73-E8A9-4E9E-8D49-11C3D045B807}"/>
                    </c:ext>
                  </c:extLst>
                </c:dPt>
                <c:dPt>
                  <c:idx val="2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B9-4C59-4571-A0EC-AF07DC26EFB8}"/>
                    </c:ext>
                  </c:extLst>
                </c:dPt>
                <c:dPt>
                  <c:idx val="2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5B-A99A-4D19-9146-7CAF62C902E6}"/>
                    </c:ext>
                  </c:extLst>
                </c:dPt>
                <c:dPt>
                  <c:idx val="2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77-E8A9-4E9E-8D49-11C3D045B807}"/>
                    </c:ext>
                  </c:extLst>
                </c:dPt>
                <c:dPt>
                  <c:idx val="2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43-1F5F-4074-9566-67CD4D12EF40}"/>
                    </c:ext>
                  </c:extLst>
                </c:dPt>
                <c:dPt>
                  <c:idx val="2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5F-A99A-4D19-9146-7CAF62C902E6}"/>
                    </c:ext>
                  </c:extLst>
                </c:dPt>
                <c:dPt>
                  <c:idx val="2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8B-62DE-443A-97AD-3C7EEF438946}"/>
                    </c:ext>
                  </c:extLst>
                </c:dPt>
                <c:dPt>
                  <c:idx val="2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47-1F5F-4074-9566-67CD4D12EF40}"/>
                    </c:ext>
                  </c:extLst>
                </c:dPt>
                <c:dPt>
                  <c:idx val="2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2D-302A-40FE-8A83-A7C7D11D567A}"/>
                    </c:ext>
                  </c:extLst>
                </c:dPt>
                <c:dPt>
                  <c:idx val="2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5B-AE6C-4EBA-B46F-54D3AEFC70C8}"/>
                    </c:ext>
                  </c:extLst>
                </c:dPt>
                <c:dPt>
                  <c:idx val="2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31-302A-40FE-8A83-A7C7D11D567A}"/>
                    </c:ext>
                  </c:extLst>
                </c:dPt>
                <c:dPt>
                  <c:idx val="3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EF-BFB8-4CBA-8932-6FA0335E0C60}"/>
                    </c:ext>
                  </c:extLst>
                </c:dPt>
                <c:dPt>
                  <c:idx val="3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35-302A-40FE-8A83-A7C7D11D567A}"/>
                    </c:ext>
                  </c:extLst>
                </c:dPt>
                <c:dPt>
                  <c:idx val="3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D7-C13E-4FDD-8839-B550F18AAF84}"/>
                    </c:ext>
                  </c:extLst>
                </c:dPt>
                <c:dPt>
                  <c:idx val="3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F3-BFB8-4CBA-8932-6FA0335E0C60}"/>
                    </c:ext>
                  </c:extLst>
                </c:dPt>
                <c:dPt>
                  <c:idx val="3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BF-E83F-4EE4-B5B6-46E84B373EBF}"/>
                    </c:ext>
                  </c:extLst>
                </c:dPt>
                <c:dPt>
                  <c:idx val="3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DB-C13E-4FDD-8839-B550F18AAF84}"/>
                    </c:ext>
                  </c:extLst>
                </c:dPt>
                <c:dPt>
                  <c:idx val="3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A7-3B02-40F7-AEF6-32F6199276C4}"/>
                    </c:ext>
                  </c:extLst>
                </c:dPt>
                <c:dPt>
                  <c:idx val="3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C3-E83F-4EE4-B5B6-46E84B373EBF}"/>
                    </c:ext>
                  </c:extLst>
                </c:dPt>
                <c:dPt>
                  <c:idx val="3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8F-62DE-443A-97AD-3C7EEF438946}"/>
                    </c:ext>
                  </c:extLst>
                </c:dPt>
                <c:dPt>
                  <c:idx val="3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AB-3B02-40F7-AEF6-32F6199276C4}"/>
                    </c:ext>
                  </c:extLst>
                </c:dPt>
                <c:dPt>
                  <c:idx val="4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5D-AE6C-4EBA-B46F-54D3AEFC70C8}"/>
                    </c:ext>
                  </c:extLst>
                </c:dPt>
                <c:dPt>
                  <c:idx val="4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93-62DE-443A-97AD-3C7EEF438946}"/>
                    </c:ext>
                  </c:extLst>
                </c:dPt>
                <c:dPt>
                  <c:idx val="4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5F-AE6C-4EBA-B46F-54D3AEFC70C8}"/>
                    </c:ext>
                  </c:extLst>
                </c:dPt>
                <c:dPt>
                  <c:idx val="4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97-62DE-443A-97AD-3C7EEF438946}"/>
                    </c:ext>
                  </c:extLst>
                </c:dPt>
                <c:dPt>
                  <c:idx val="4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B-F898-4150-B11B-A34BA52765CF}"/>
                    </c:ext>
                  </c:extLst>
                </c:dPt>
                <c:dPt>
                  <c:idx val="4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F-0D8B-40D2-9511-1D1F43A218B5}"/>
                    </c:ext>
                  </c:extLst>
                </c:dPt>
                <c:dPt>
                  <c:idx val="4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B-229F-4516-B7C5-03D8C7DE4CBD}"/>
                    </c:ext>
                  </c:extLst>
                </c:dPt>
                <c:dPt>
                  <c:idx val="4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F-F898-4150-B11B-A34BA52765CF}"/>
                    </c:ext>
                  </c:extLst>
                </c:dPt>
                <c:dPt>
                  <c:idx val="4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7-33B0-411C-8DA3-1A710A95E3AE}"/>
                    </c:ext>
                  </c:extLst>
                </c:dPt>
                <c:dPt>
                  <c:idx val="4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F-229F-4516-B7C5-03D8C7DE4CBD}"/>
                    </c:ext>
                  </c:extLst>
                </c:dPt>
                <c:dPt>
                  <c:idx val="5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B-98D6-4BCC-975D-A277E44B92A0}"/>
                    </c:ext>
                  </c:extLst>
                </c:dPt>
                <c:dPt>
                  <c:idx val="5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3-229F-4516-B7C5-03D8C7DE4CBD}"/>
                    </c:ext>
                  </c:extLst>
                </c:dPt>
                <c:dPt>
                  <c:idx val="5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7-649D-4A19-9379-3BF4666D0E23}"/>
                    </c:ext>
                  </c:extLst>
                </c:dPt>
                <c:dPt>
                  <c:idx val="5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F-98D6-4BCC-975D-A277E44B92A0}"/>
                    </c:ext>
                  </c:extLst>
                </c:dPt>
                <c:dPt>
                  <c:idx val="5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B-33B0-411C-8DA3-1A710A95E3AE}"/>
                    </c:ext>
                  </c:extLst>
                </c:dPt>
                <c:dPt>
                  <c:idx val="5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3-98D6-4BCC-975D-A277E44B92A0}"/>
                    </c:ext>
                  </c:extLst>
                </c:dPt>
                <c:dPt>
                  <c:idx val="5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7-6B69-4081-840E-000F18F63EA4}"/>
                    </c:ext>
                  </c:extLst>
                </c:dPt>
                <c:dPt>
                  <c:idx val="5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F-33B0-411C-8DA3-1A710A95E3AE}"/>
                    </c:ext>
                  </c:extLst>
                </c:dPt>
                <c:dPt>
                  <c:idx val="5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B-649D-4A19-9379-3BF4666D0E23}"/>
                    </c:ext>
                  </c:extLst>
                </c:dPt>
                <c:dPt>
                  <c:idx val="5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3-33B0-411C-8DA3-1A710A95E3AE}"/>
                    </c:ext>
                  </c:extLst>
                </c:dPt>
                <c:dPt>
                  <c:idx val="6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7-5287-4F80-86CF-528129997249}"/>
                    </c:ext>
                  </c:extLst>
                </c:dPt>
                <c:dPt>
                  <c:idx val="6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F-649D-4A19-9379-3BF4666D0E23}"/>
                    </c:ext>
                  </c:extLst>
                </c:dPt>
                <c:dPt>
                  <c:idx val="6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B-6B69-4081-840E-000F18F63EA4}"/>
                    </c:ext>
                  </c:extLst>
                </c:dPt>
                <c:dPt>
                  <c:idx val="6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3-649D-4A19-9379-3BF4666D0E23}"/>
                    </c:ext>
                  </c:extLst>
                </c:dPt>
                <c:dPt>
                  <c:idx val="6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5-B295-44CE-89EF-65A5FC14B26A}"/>
                    </c:ext>
                  </c:extLst>
                </c:dPt>
                <c:dPt>
                  <c:idx val="6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F-6B69-4081-840E-000F18F63EA4}"/>
                    </c:ext>
                  </c:extLst>
                </c:dPt>
                <c:dPt>
                  <c:idx val="6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B-5287-4F80-86CF-528129997249}"/>
                    </c:ext>
                  </c:extLst>
                </c:dPt>
                <c:dPt>
                  <c:idx val="6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3-6B69-4081-840E-000F18F63EA4}"/>
                    </c:ext>
                  </c:extLst>
                </c:dPt>
                <c:dPt>
                  <c:idx val="6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9-0DE7-45ED-9920-2F51BABEDA24}"/>
                    </c:ext>
                  </c:extLst>
                </c:dPt>
                <c:dPt>
                  <c:idx val="6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F-5287-4F80-86CF-528129997249}"/>
                    </c:ext>
                  </c:extLst>
                </c:dPt>
                <c:dPt>
                  <c:idx val="7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5-81F0-4AF8-A703-F8176C52F44D}"/>
                    </c:ext>
                  </c:extLst>
                </c:dPt>
                <c:dPt>
                  <c:idx val="7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3-5287-4F80-86CF-528129997249}"/>
                    </c:ext>
                  </c:extLst>
                </c:dPt>
                <c:dPt>
                  <c:idx val="7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D-0DE7-45ED-9920-2F51BABEDA24}"/>
                    </c:ext>
                  </c:extLst>
                </c:dPt>
                <c:dPt>
                  <c:idx val="7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9-B295-44CE-89EF-65A5FC14B26A}"/>
                    </c:ext>
                  </c:extLst>
                </c:dPt>
                <c:dPt>
                  <c:idx val="7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1-0DE7-45ED-9920-2F51BABEDA24}"/>
                    </c:ext>
                  </c:extLst>
                </c:dPt>
                <c:dPt>
                  <c:idx val="7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5-D5D9-45D6-A8C4-5057955FE328}"/>
                    </c:ext>
                  </c:extLst>
                </c:dPt>
                <c:dPt>
                  <c:idx val="7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5-0DE7-45ED-9920-2F51BABEDA24}"/>
                    </c:ext>
                  </c:extLst>
                </c:dPt>
                <c:dPt>
                  <c:idx val="7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D-B295-44CE-89EF-65A5FC14B26A}"/>
                    </c:ext>
                  </c:extLst>
                </c:dPt>
                <c:dPt>
                  <c:idx val="7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9-81F0-4AF8-A703-F8176C52F44D}"/>
                    </c:ext>
                  </c:extLst>
                </c:dPt>
                <c:dPt>
                  <c:idx val="7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1-B295-44CE-89EF-65A5FC14B26A}"/>
                    </c:ext>
                  </c:extLst>
                </c:dPt>
                <c:dPt>
                  <c:idx val="8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B-9849-460D-9466-26FC8283A2F0}"/>
                    </c:ext>
                  </c:extLst>
                </c:dPt>
                <c:dPt>
                  <c:idx val="8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5-B295-44CE-89EF-65A5FC14B26A}"/>
                    </c:ext>
                  </c:extLst>
                </c:dPt>
                <c:dPt>
                  <c:idx val="8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B-172F-4947-91A3-476DF561E35B}"/>
                    </c:ext>
                  </c:extLst>
                </c:dPt>
                <c:dPt>
                  <c:idx val="8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F-9849-460D-9466-26FC8283A2F0}"/>
                    </c:ext>
                  </c:extLst>
                </c:dPt>
                <c:dPt>
                  <c:idx val="8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B-9982-4CD1-B159-BA3D758AB623}"/>
                    </c:ext>
                  </c:extLst>
                </c:dPt>
                <c:dPt>
                  <c:idx val="8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F-172F-4947-91A3-476DF561E35B}"/>
                    </c:ext>
                  </c:extLst>
                </c:dPt>
                <c:dPt>
                  <c:idx val="8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5-F00B-484F-A684-53B3FEB2CFF0}"/>
                    </c:ext>
                  </c:extLst>
                </c:dPt>
                <c:dPt>
                  <c:idx val="8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F-9982-4CD1-B159-BA3D758AB623}"/>
                    </c:ext>
                  </c:extLst>
                </c:dPt>
                <c:dPt>
                  <c:idx val="8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D-81F0-4AF8-A703-F8176C52F44D}"/>
                    </c:ext>
                  </c:extLst>
                </c:dPt>
                <c:dPt>
                  <c:idx val="8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9-D5D9-45D6-A8C4-5057955FE328}"/>
                    </c:ext>
                  </c:extLst>
                </c:dPt>
                <c:dPt>
                  <c:idx val="9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1-81F0-4AF8-A703-F8176C52F44D}"/>
                    </c:ext>
                  </c:extLst>
                </c:dPt>
                <c:dPt>
                  <c:idx val="9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B-9CE4-4E34-AFF1-267C71AB9199}"/>
                    </c:ext>
                  </c:extLst>
                </c:dPt>
                <c:dPt>
                  <c:idx val="9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5-81F0-4AF8-A703-F8176C52F44D}"/>
                    </c:ext>
                  </c:extLst>
                </c:dPt>
                <c:dPt>
                  <c:idx val="9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7-C417-4560-BC0F-217B4A2E6275}"/>
                    </c:ext>
                  </c:extLst>
                </c:dPt>
                <c:dPt>
                  <c:idx val="9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F-9CE4-4E34-AFF1-267C71AB9199}"/>
                    </c:ext>
                  </c:extLst>
                </c:dPt>
                <c:dPt>
                  <c:idx val="9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D-D5D9-45D6-A8C4-5057955FE328}"/>
                    </c:ext>
                  </c:extLst>
                </c:dPt>
                <c:dPt>
                  <c:idx val="9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9-C417-4560-BC0F-217B4A2E6275}"/>
                    </c:ext>
                  </c:extLst>
                </c:dPt>
                <c:dPt>
                  <c:idx val="9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1-D5D9-45D6-A8C4-5057955FE328}"/>
                    </c:ext>
                  </c:extLst>
                </c:dPt>
                <c:dPt>
                  <c:idx val="9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B-C417-4560-BC0F-217B4A2E6275}"/>
                    </c:ext>
                  </c:extLst>
                </c:dPt>
                <c:dPt>
                  <c:idx val="9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5-D5D9-45D6-A8C4-5057955FE328}"/>
                    </c:ext>
                  </c:extLst>
                </c:dPt>
                <c:dPt>
                  <c:idx val="10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B-CEE0-426A-ADFF-C0609E3D257A}"/>
                    </c:ext>
                  </c:extLst>
                </c:dPt>
                <c:dPt>
                  <c:idx val="10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F-C417-4560-BC0F-217B4A2E6275}"/>
                    </c:ext>
                  </c:extLst>
                </c:dPt>
                <c:dPt>
                  <c:idx val="10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B-8252-477A-9734-EDA65DAC8A05}"/>
                    </c:ext>
                  </c:extLst>
                </c:dPt>
                <c:dPt>
                  <c:idx val="10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F-CEE0-426A-ADFF-C0609E3D257A}"/>
                    </c:ext>
                  </c:extLst>
                </c:dPt>
                <c:dPt>
                  <c:idx val="10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B-158B-4273-955D-24B445AB8A26}"/>
                    </c:ext>
                  </c:extLst>
                </c:dPt>
                <c:dPt>
                  <c:idx val="10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F-8252-477A-9734-EDA65DAC8A05}"/>
                    </c:ext>
                  </c:extLst>
                </c:dPt>
                <c:dPt>
                  <c:idx val="10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B-A643-44EF-AA4D-851003185A15}"/>
                    </c:ext>
                  </c:extLst>
                </c:dPt>
                <c:dPt>
                  <c:idx val="10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F-158B-4273-955D-24B445AB8A26}"/>
                    </c:ext>
                  </c:extLst>
                </c:dPt>
                <c:dPt>
                  <c:idx val="10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B-28A2-4C21-B514-9813D03051EF}"/>
                    </c:ext>
                  </c:extLst>
                </c:dPt>
                <c:dPt>
                  <c:idx val="10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F-A643-44EF-AA4D-851003185A15}"/>
                    </c:ext>
                  </c:extLst>
                </c:dPt>
                <c:dPt>
                  <c:idx val="11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B-09AA-4AE6-855F-3A8CA6FF232C}"/>
                    </c:ext>
                  </c:extLst>
                </c:dPt>
                <c:dPt>
                  <c:idx val="11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F-28A2-4C21-B514-9813D03051EF}"/>
                    </c:ext>
                  </c:extLst>
                </c:dPt>
                <c:dPt>
                  <c:idx val="11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B-E753-42AA-A8BC-AEE8AF3ECFFF}"/>
                    </c:ext>
                  </c:extLst>
                </c:dPt>
                <c:dPt>
                  <c:idx val="11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F-09AA-4AE6-855F-3A8CA6FF232C}"/>
                    </c:ext>
                  </c:extLst>
                </c:dPt>
                <c:dPt>
                  <c:idx val="11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B-9150-4240-917C-FC1BB9816CF4}"/>
                    </c:ext>
                  </c:extLst>
                </c:dPt>
                <c:dPt>
                  <c:idx val="11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F-E753-42AA-A8BC-AEE8AF3ECFFF}"/>
                    </c:ext>
                  </c:extLst>
                </c:dPt>
                <c:dPt>
                  <c:idx val="11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7-F00B-484F-A684-53B3FEB2CFF0}"/>
                    </c:ext>
                  </c:extLst>
                </c:dPt>
                <c:dPt>
                  <c:idx val="11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F-9150-4240-917C-FC1BB9816CF4}"/>
                    </c:ext>
                  </c:extLst>
                </c:dPt>
                <c:dPt>
                  <c:idx val="11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B-C43B-49E9-861A-AF0108B517A2}"/>
                    </c:ext>
                  </c:extLst>
                </c:dPt>
                <c:dPt>
                  <c:idx val="11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3-9150-4240-917C-FC1BB9816CF4}"/>
                    </c:ext>
                  </c:extLst>
                </c:dPt>
                <c:dPt>
                  <c:idx val="12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9-DD2E-41FC-BB90-A37E53752B9B}"/>
                    </c:ext>
                  </c:extLst>
                </c:dPt>
                <c:dPt>
                  <c:idx val="12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F-C43B-49E9-861A-AF0108B517A2}"/>
                    </c:ext>
                  </c:extLst>
                </c:dPt>
                <c:dPt>
                  <c:idx val="12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9-F00B-484F-A684-53B3FEB2CFF0}"/>
                    </c:ext>
                  </c:extLst>
                </c:dPt>
                <c:dPt>
                  <c:idx val="12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3-C43B-49E9-861A-AF0108B517A2}"/>
                    </c:ext>
                  </c:extLst>
                </c:dPt>
                <c:dPt>
                  <c:idx val="12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D-DD2E-41FC-BB90-A37E53752B9B}"/>
                    </c:ext>
                  </c:extLst>
                </c:dPt>
                <c:dPt>
                  <c:idx val="12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B-54F6-4C32-9950-D5C5177AD91E}"/>
                    </c:ext>
                  </c:extLst>
                </c:dPt>
                <c:dPt>
                  <c:idx val="12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1-DD2E-41FC-BB90-A37E53752B9B}"/>
                    </c:ext>
                  </c:extLst>
                </c:dPt>
                <c:dPt>
                  <c:idx val="12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B-F9C9-4A72-BE65-646D5EB3B762}"/>
                    </c:ext>
                  </c:extLst>
                </c:dPt>
                <c:dPt>
                  <c:idx val="12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F-54F6-4C32-9950-D5C5177AD91E}"/>
                    </c:ext>
                  </c:extLst>
                </c:dPt>
                <c:dPt>
                  <c:idx val="12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B-DCFD-4969-9ED1-D81E777C917B}"/>
                    </c:ext>
                  </c:extLst>
                </c:dPt>
                <c:dPt>
                  <c:idx val="13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F-F9C9-4A72-BE65-646D5EB3B762}"/>
                    </c:ext>
                  </c:extLst>
                </c:dPt>
                <c:dPt>
                  <c:idx val="13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B-F00B-484F-A684-53B3FEB2CFF0}"/>
                    </c:ext>
                  </c:extLst>
                </c:dPt>
                <c:dPt>
                  <c:idx val="13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F-DCFD-4969-9ED1-D81E777C917B}"/>
                    </c:ext>
                  </c:extLst>
                </c:dPt>
                <c:dPt>
                  <c:idx val="13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D-F00B-484F-A684-53B3FEB2CFF0}"/>
                    </c:ext>
                  </c:extLst>
                </c:dPt>
                <c:dPt>
                  <c:idx val="13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F-F00B-484F-A684-53B3FEB2CFF0}"/>
                    </c:ext>
                  </c:extLst>
                </c:dPt>
                <c:dPt>
                  <c:idx val="13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1-F00B-484F-A684-53B3FEB2CFF0}"/>
                    </c:ext>
                  </c:extLst>
                </c:dPt>
                <c:dPt>
                  <c:idx val="13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3-F00B-484F-A684-53B3FEB2CFF0}"/>
                    </c:ext>
                  </c:extLst>
                </c:dPt>
                <c:dPt>
                  <c:idx val="13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5-F00B-484F-A684-53B3FEB2CFF0}"/>
                    </c:ext>
                  </c:extLst>
                </c:dPt>
                <c:dPt>
                  <c:idx val="13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7-F00B-484F-A684-53B3FEB2CFF0}"/>
                    </c:ext>
                  </c:extLst>
                </c:dPt>
                <c:dPt>
                  <c:idx val="13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9-F00B-484F-A684-53B3FEB2CFF0}"/>
                    </c:ext>
                  </c:extLst>
                </c:dPt>
                <c:dPt>
                  <c:idx val="14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B-F00B-484F-A684-53B3FEB2CFF0}"/>
                    </c:ext>
                  </c:extLst>
                </c:dPt>
                <c:dPt>
                  <c:idx val="14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D-F00B-484F-A684-53B3FEB2CFF0}"/>
                    </c:ext>
                  </c:extLst>
                </c:dPt>
                <c:dPt>
                  <c:idx val="14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F-F00B-484F-A684-53B3FEB2CFF0}"/>
                    </c:ext>
                  </c:extLst>
                </c:dPt>
                <c:dPt>
                  <c:idx val="14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21-F00B-484F-A684-53B3FEB2CFF0}"/>
                    </c:ext>
                  </c:extLst>
                </c:dPt>
                <c:dPt>
                  <c:idx val="14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23-F00B-484F-A684-53B3FEB2CFF0}"/>
                    </c:ext>
                  </c:extLst>
                </c:dPt>
                <c:dPt>
                  <c:idx val="14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25-F00B-484F-A684-53B3FEB2CFF0}"/>
                    </c:ext>
                  </c:extLst>
                </c:dPt>
                <c:dPt>
                  <c:idx val="14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27-F00B-484F-A684-53B3FEB2CFF0}"/>
                    </c:ext>
                  </c:extLst>
                </c:dPt>
                <c:dPt>
                  <c:idx val="14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29-F00B-484F-A684-53B3FEB2CFF0}"/>
                    </c:ext>
                  </c:extLst>
                </c:dPt>
                <c:dPt>
                  <c:idx val="14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2B-F00B-484F-A684-53B3FEB2CFF0}"/>
                    </c:ext>
                  </c:extLst>
                </c:dPt>
                <c:dPt>
                  <c:idx val="14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2D-F00B-484F-A684-53B3FEB2CFF0}"/>
                    </c:ext>
                  </c:extLst>
                </c:dPt>
                <c:dPt>
                  <c:idx val="15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2F-F00B-484F-A684-53B3FEB2CFF0}"/>
                    </c:ext>
                  </c:extLst>
                </c:dPt>
                <c:dPt>
                  <c:idx val="15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31-F00B-484F-A684-53B3FEB2CFF0}"/>
                    </c:ext>
                  </c:extLst>
                </c:dPt>
                <c:dPt>
                  <c:idx val="15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33-F00B-484F-A684-53B3FEB2CFF0}"/>
                    </c:ext>
                  </c:extLst>
                </c:dPt>
                <c:dPt>
                  <c:idx val="15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35-F00B-484F-A684-53B3FEB2CFF0}"/>
                    </c:ext>
                  </c:extLst>
                </c:dPt>
                <c:dPt>
                  <c:idx val="15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37-F00B-484F-A684-53B3FEB2CFF0}"/>
                    </c:ext>
                  </c:extLst>
                </c:dPt>
                <c:dPt>
                  <c:idx val="15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39-F00B-484F-A684-53B3FEB2CFF0}"/>
                    </c:ext>
                  </c:extLst>
                </c:dPt>
                <c:dPt>
                  <c:idx val="15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3B-F00B-484F-A684-53B3FEB2CFF0}"/>
                    </c:ext>
                  </c:extLst>
                </c:dPt>
                <c:dPt>
                  <c:idx val="15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3D-F00B-484F-A684-53B3FEB2CFF0}"/>
                    </c:ext>
                  </c:extLst>
                </c:dPt>
                <c:dPt>
                  <c:idx val="15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3F-F00B-484F-A684-53B3FEB2CFF0}"/>
                    </c:ext>
                  </c:extLst>
                </c:dPt>
                <c:dPt>
                  <c:idx val="15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41-F00B-484F-A684-53B3FEB2CFF0}"/>
                    </c:ext>
                  </c:extLst>
                </c:dPt>
                <c:dPt>
                  <c:idx val="16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43-F00B-484F-A684-53B3FEB2CFF0}"/>
                    </c:ext>
                  </c:extLst>
                </c:dPt>
                <c:dPt>
                  <c:idx val="16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45-F00B-484F-A684-53B3FEB2CFF0}"/>
                    </c:ext>
                  </c:extLst>
                </c:dPt>
                <c:dPt>
                  <c:idx val="16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47-F00B-484F-A684-53B3FEB2CFF0}"/>
                    </c:ext>
                  </c:extLst>
                </c:dPt>
                <c:dPt>
                  <c:idx val="16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49-F00B-484F-A684-53B3FEB2CFF0}"/>
                    </c:ext>
                  </c:extLst>
                </c:dPt>
                <c:dPt>
                  <c:idx val="16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4B-F00B-484F-A684-53B3FEB2CFF0}"/>
                    </c:ext>
                  </c:extLst>
                </c:dPt>
                <c:dPt>
                  <c:idx val="16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4D-F00B-484F-A684-53B3FEB2CFF0}"/>
                    </c:ext>
                  </c:extLst>
                </c:dPt>
                <c:dPt>
                  <c:idx val="16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4F-F00B-484F-A684-53B3FEB2CFF0}"/>
                    </c:ext>
                  </c:extLst>
                </c:dPt>
                <c:dPt>
                  <c:idx val="16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51-F00B-484F-A684-53B3FEB2CFF0}"/>
                    </c:ext>
                  </c:extLst>
                </c:dPt>
                <c:dPt>
                  <c:idx val="16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53-F00B-484F-A684-53B3FEB2CFF0}"/>
                    </c:ext>
                  </c:extLst>
                </c:dPt>
                <c:dPt>
                  <c:idx val="16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55-F00B-484F-A684-53B3FEB2CFF0}"/>
                    </c:ext>
                  </c:extLst>
                </c:dPt>
                <c:dPt>
                  <c:idx val="17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57-F00B-484F-A684-53B3FEB2CFF0}"/>
                    </c:ext>
                  </c:extLst>
                </c:dPt>
                <c:dPt>
                  <c:idx val="17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59-F00B-484F-A684-53B3FEB2CFF0}"/>
                    </c:ext>
                  </c:extLst>
                </c:dPt>
                <c:dPt>
                  <c:idx val="17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5B-F00B-484F-A684-53B3FEB2CFF0}"/>
                    </c:ext>
                  </c:extLst>
                </c:dPt>
                <c:dPt>
                  <c:idx val="17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5D-F00B-484F-A684-53B3FEB2CFF0}"/>
                    </c:ext>
                  </c:extLst>
                </c:dPt>
                <c:dPt>
                  <c:idx val="17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5F-F00B-484F-A684-53B3FEB2CFF0}"/>
                    </c:ext>
                  </c:extLst>
                </c:dPt>
                <c:dPt>
                  <c:idx val="17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61-F00B-484F-A684-53B3FEB2CFF0}"/>
                    </c:ext>
                  </c:extLst>
                </c:dPt>
                <c:dPt>
                  <c:idx val="17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63-F00B-484F-A684-53B3FEB2CFF0}"/>
                    </c:ext>
                  </c:extLst>
                </c:dPt>
                <c:dPt>
                  <c:idx val="17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65-F00B-484F-A684-53B3FEB2CFF0}"/>
                    </c:ext>
                  </c:extLst>
                </c:dPt>
                <c:dPt>
                  <c:idx val="17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67-F00B-484F-A684-53B3FEB2CFF0}"/>
                    </c:ext>
                  </c:extLst>
                </c:dPt>
                <c:dPt>
                  <c:idx val="17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69-F00B-484F-A684-53B3FEB2CFF0}"/>
                    </c:ext>
                  </c:extLst>
                </c:dPt>
                <c:dPt>
                  <c:idx val="18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6B-F00B-484F-A684-53B3FEB2CFF0}"/>
                    </c:ext>
                  </c:extLst>
                </c:dPt>
                <c:dPt>
                  <c:idx val="18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6D-F00B-484F-A684-53B3FEB2CFF0}"/>
                    </c:ext>
                  </c:extLst>
                </c:dPt>
                <c:dPt>
                  <c:idx val="18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6F-F00B-484F-A684-53B3FEB2CFF0}"/>
                    </c:ext>
                  </c:extLst>
                </c:dPt>
                <c:dPt>
                  <c:idx val="18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71-F00B-484F-A684-53B3FEB2CFF0}"/>
                    </c:ext>
                  </c:extLst>
                </c:dPt>
                <c:dPt>
                  <c:idx val="18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73-F00B-484F-A684-53B3FEB2CFF0}"/>
                    </c:ext>
                  </c:extLst>
                </c:dPt>
                <c:dPt>
                  <c:idx val="18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75-F00B-484F-A684-53B3FEB2CFF0}"/>
                    </c:ext>
                  </c:extLst>
                </c:dPt>
                <c:dPt>
                  <c:idx val="18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77-F00B-484F-A684-53B3FEB2CFF0}"/>
                    </c:ext>
                  </c:extLst>
                </c:dPt>
                <c:dPt>
                  <c:idx val="18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79-F00B-484F-A684-53B3FEB2CFF0}"/>
                    </c:ext>
                  </c:extLst>
                </c:dPt>
                <c:dPt>
                  <c:idx val="18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7B-F00B-484F-A684-53B3FEB2CFF0}"/>
                    </c:ext>
                  </c:extLst>
                </c:dPt>
                <c:dPt>
                  <c:idx val="18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7D-F00B-484F-A684-53B3FEB2CFF0}"/>
                    </c:ext>
                  </c:extLst>
                </c:dPt>
                <c:dPt>
                  <c:idx val="19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7F-F00B-484F-A684-53B3FEB2CFF0}"/>
                    </c:ext>
                  </c:extLst>
                </c:dPt>
                <c:dPt>
                  <c:idx val="19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81-F00B-484F-A684-53B3FEB2CFF0}"/>
                    </c:ext>
                  </c:extLst>
                </c:dPt>
                <c:dPt>
                  <c:idx val="19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83-F00B-484F-A684-53B3FEB2CFF0}"/>
                    </c:ext>
                  </c:extLst>
                </c:dPt>
                <c:dPt>
                  <c:idx val="19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85-F00B-484F-A684-53B3FEB2CFF0}"/>
                    </c:ext>
                  </c:extLst>
                </c:dPt>
                <c:dPt>
                  <c:idx val="19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87-F00B-484F-A684-53B3FEB2CFF0}"/>
                    </c:ext>
                  </c:extLst>
                </c:dPt>
                <c:dPt>
                  <c:idx val="19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89-F00B-484F-A684-53B3FEB2CFF0}"/>
                    </c:ext>
                  </c:extLst>
                </c:dPt>
                <c:dPt>
                  <c:idx val="19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8B-F00B-484F-A684-53B3FEB2CFF0}"/>
                    </c:ext>
                  </c:extLst>
                </c:dPt>
                <c:dPt>
                  <c:idx val="19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8D-F00B-484F-A684-53B3FEB2CFF0}"/>
                    </c:ext>
                  </c:extLst>
                </c:dPt>
                <c:dPt>
                  <c:idx val="19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8F-F00B-484F-A684-53B3FEB2CFF0}"/>
                    </c:ext>
                  </c:extLst>
                </c:dPt>
                <c:dPt>
                  <c:idx val="19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91-F00B-484F-A684-53B3FEB2CFF0}"/>
                    </c:ext>
                  </c:extLst>
                </c:dPt>
                <c:dPt>
                  <c:idx val="20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93-F00B-484F-A684-53B3FEB2CFF0}"/>
                    </c:ext>
                  </c:extLst>
                </c:dPt>
                <c:dPt>
                  <c:idx val="20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95-F00B-484F-A684-53B3FEB2CFF0}"/>
                    </c:ext>
                  </c:extLst>
                </c:dPt>
                <c:dPt>
                  <c:idx val="20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97-F00B-484F-A684-53B3FEB2CFF0}"/>
                    </c:ext>
                  </c:extLst>
                </c:dPt>
                <c:dPt>
                  <c:idx val="20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99-F00B-484F-A684-53B3FEB2CFF0}"/>
                    </c:ext>
                  </c:extLst>
                </c:dPt>
                <c:dPt>
                  <c:idx val="20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9B-F00B-484F-A684-53B3FEB2CFF0}"/>
                    </c:ext>
                  </c:extLst>
                </c:dPt>
                <c:dPt>
                  <c:idx val="20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9D-F00B-484F-A684-53B3FEB2CFF0}"/>
                    </c:ext>
                  </c:extLst>
                </c:dPt>
                <c:dPt>
                  <c:idx val="20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9F-F00B-484F-A684-53B3FEB2CFF0}"/>
                    </c:ext>
                  </c:extLst>
                </c:dPt>
                <c:dPt>
                  <c:idx val="20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A1-F00B-484F-A684-53B3FEB2CFF0}"/>
                    </c:ext>
                  </c:extLst>
                </c:dPt>
                <c:dPt>
                  <c:idx val="20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A3-F00B-484F-A684-53B3FEB2CFF0}"/>
                    </c:ext>
                  </c:extLst>
                </c:dPt>
                <c:dPt>
                  <c:idx val="20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A5-F00B-484F-A684-53B3FEB2CFF0}"/>
                    </c:ext>
                  </c:extLst>
                </c:dPt>
                <c:dPt>
                  <c:idx val="21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A7-F00B-484F-A684-53B3FEB2CFF0}"/>
                    </c:ext>
                  </c:extLst>
                </c:dPt>
                <c:dPt>
                  <c:idx val="21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A9-F00B-484F-A684-53B3FEB2CFF0}"/>
                    </c:ext>
                  </c:extLst>
                </c:dPt>
                <c:dPt>
                  <c:idx val="21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AB-F00B-484F-A684-53B3FEB2CFF0}"/>
                    </c:ext>
                  </c:extLst>
                </c:dPt>
                <c:dPt>
                  <c:idx val="21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AD-F00B-484F-A684-53B3FEB2CFF0}"/>
                    </c:ext>
                  </c:extLst>
                </c:dPt>
                <c:dPt>
                  <c:idx val="21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AF-F00B-484F-A684-53B3FEB2CFF0}"/>
                    </c:ext>
                  </c:extLst>
                </c:dPt>
                <c:dPt>
                  <c:idx val="21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B1-F00B-484F-A684-53B3FEB2CFF0}"/>
                    </c:ext>
                  </c:extLst>
                </c:dPt>
                <c:dPt>
                  <c:idx val="21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B3-F00B-484F-A684-53B3FEB2CFF0}"/>
                    </c:ext>
                  </c:extLst>
                </c:dPt>
                <c:dPt>
                  <c:idx val="21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B5-F00B-484F-A684-53B3FEB2CFF0}"/>
                    </c:ext>
                  </c:extLst>
                </c:dPt>
                <c:dPt>
                  <c:idx val="21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B7-F00B-484F-A684-53B3FEB2CFF0}"/>
                    </c:ext>
                  </c:extLst>
                </c:dPt>
                <c:dPt>
                  <c:idx val="21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B9-F00B-484F-A684-53B3FEB2CFF0}"/>
                    </c:ext>
                  </c:extLst>
                </c:dPt>
                <c:dPt>
                  <c:idx val="22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BB-F00B-484F-A684-53B3FEB2CFF0}"/>
                    </c:ext>
                  </c:extLst>
                </c:dPt>
                <c:dPt>
                  <c:idx val="22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BD-F00B-484F-A684-53B3FEB2CFF0}"/>
                    </c:ext>
                  </c:extLst>
                </c:dPt>
                <c:dPt>
                  <c:idx val="22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BF-F00B-484F-A684-53B3FEB2CFF0}"/>
                    </c:ext>
                  </c:extLst>
                </c:dPt>
                <c:dPt>
                  <c:idx val="22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C1-F00B-484F-A684-53B3FEB2CFF0}"/>
                    </c:ext>
                  </c:extLst>
                </c:dPt>
                <c:dPt>
                  <c:idx val="22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C3-F00B-484F-A684-53B3FEB2CFF0}"/>
                    </c:ext>
                  </c:extLst>
                </c:dPt>
                <c:dPt>
                  <c:idx val="22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C5-F00B-484F-A684-53B3FEB2CFF0}"/>
                    </c:ext>
                  </c:extLst>
                </c:dPt>
                <c:dPt>
                  <c:idx val="22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C7-F00B-484F-A684-53B3FEB2CFF0}"/>
                    </c:ext>
                  </c:extLst>
                </c:dPt>
                <c:dPt>
                  <c:idx val="22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C9-F00B-484F-A684-53B3FEB2CFF0}"/>
                    </c:ext>
                  </c:extLst>
                </c:dPt>
                <c:dPt>
                  <c:idx val="22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CB-F00B-484F-A684-53B3FEB2CFF0}"/>
                    </c:ext>
                  </c:extLst>
                </c:dPt>
                <c:dPt>
                  <c:idx val="22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CD-F00B-484F-A684-53B3FEB2CFF0}"/>
                    </c:ext>
                  </c:extLst>
                </c:dPt>
                <c:dPt>
                  <c:idx val="23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CF-F00B-484F-A684-53B3FEB2CFF0}"/>
                    </c:ext>
                  </c:extLst>
                </c:dPt>
                <c:dPt>
                  <c:idx val="23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D1-F00B-484F-A684-53B3FEB2CFF0}"/>
                    </c:ext>
                  </c:extLst>
                </c:dPt>
                <c:dPt>
                  <c:idx val="23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D3-F00B-484F-A684-53B3FEB2CFF0}"/>
                    </c:ext>
                  </c:extLst>
                </c:dPt>
                <c:dPt>
                  <c:idx val="23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D5-F00B-484F-A684-53B3FEB2CFF0}"/>
                    </c:ext>
                  </c:extLst>
                </c:dPt>
                <c:dPt>
                  <c:idx val="23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D7-F00B-484F-A684-53B3FEB2CFF0}"/>
                    </c:ext>
                  </c:extLst>
                </c:dPt>
                <c:dPt>
                  <c:idx val="23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D9-F00B-484F-A684-53B3FEB2CFF0}"/>
                    </c:ext>
                  </c:extLst>
                </c:dPt>
                <c:dPt>
                  <c:idx val="23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DB-F00B-484F-A684-53B3FEB2CFF0}"/>
                    </c:ext>
                  </c:extLst>
                </c:dPt>
                <c:dPt>
                  <c:idx val="23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DD-F00B-484F-A684-53B3FEB2CFF0}"/>
                    </c:ext>
                  </c:extLst>
                </c:dPt>
                <c:dPt>
                  <c:idx val="23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DF-F00B-484F-A684-53B3FEB2CFF0}"/>
                    </c:ext>
                  </c:extLst>
                </c:dPt>
                <c:dPt>
                  <c:idx val="23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E1-F00B-484F-A684-53B3FEB2CFF0}"/>
                    </c:ext>
                  </c:extLst>
                </c:dPt>
                <c:dPt>
                  <c:idx val="24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E3-F00B-484F-A684-53B3FEB2CFF0}"/>
                    </c:ext>
                  </c:extLst>
                </c:dPt>
                <c:dPt>
                  <c:idx val="24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E5-F00B-484F-A684-53B3FEB2CFF0}"/>
                    </c:ext>
                  </c:extLst>
                </c:dPt>
                <c:dPt>
                  <c:idx val="24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E7-F00B-484F-A684-53B3FEB2CFF0}"/>
                    </c:ext>
                  </c:extLst>
                </c:dPt>
                <c:dPt>
                  <c:idx val="24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E9-F00B-484F-A684-53B3FEB2CFF0}"/>
                    </c:ext>
                  </c:extLst>
                </c:dPt>
                <c:dPt>
                  <c:idx val="24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EB-F00B-484F-A684-53B3FEB2CFF0}"/>
                    </c:ext>
                  </c:extLst>
                </c:dPt>
                <c:dPt>
                  <c:idx val="24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ED-F00B-484F-A684-53B3FEB2CFF0}"/>
                    </c:ext>
                  </c:extLst>
                </c:dPt>
                <c:dPt>
                  <c:idx val="24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EF-F00B-484F-A684-53B3FEB2CFF0}"/>
                    </c:ext>
                  </c:extLst>
                </c:dPt>
                <c:dPt>
                  <c:idx val="24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F1-F00B-484F-A684-53B3FEB2CFF0}"/>
                    </c:ext>
                  </c:extLst>
                </c:dPt>
                <c:dPt>
                  <c:idx val="24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F3-F00B-484F-A684-53B3FEB2CFF0}"/>
                    </c:ext>
                  </c:extLst>
                </c:dPt>
                <c:dPt>
                  <c:idx val="24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F5-F00B-484F-A684-53B3FEB2CFF0}"/>
                    </c:ext>
                  </c:extLst>
                </c:dPt>
                <c:dPt>
                  <c:idx val="25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F7-F00B-484F-A684-53B3FEB2CFF0}"/>
                    </c:ext>
                  </c:extLst>
                </c:dPt>
                <c:dPt>
                  <c:idx val="25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F9-F00B-484F-A684-53B3FEB2CFF0}"/>
                    </c:ext>
                  </c:extLst>
                </c:dPt>
                <c:dPt>
                  <c:idx val="25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FB-F00B-484F-A684-53B3FEB2CFF0}"/>
                    </c:ext>
                  </c:extLst>
                </c:dPt>
                <c:dPt>
                  <c:idx val="25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FD-F00B-484F-A684-53B3FEB2CFF0}"/>
                    </c:ext>
                  </c:extLst>
                </c:dPt>
                <c:dPt>
                  <c:idx val="25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FF-F00B-484F-A684-53B3FEB2CFF0}"/>
                    </c:ext>
                  </c:extLst>
                </c:dPt>
                <c:dPt>
                  <c:idx val="25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01-F00B-484F-A684-53B3FEB2CFF0}"/>
                    </c:ext>
                  </c:extLst>
                </c:dPt>
                <c:dPt>
                  <c:idx val="25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03-F00B-484F-A684-53B3FEB2CFF0}"/>
                    </c:ext>
                  </c:extLst>
                </c:dPt>
                <c:dPt>
                  <c:idx val="25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05-F00B-484F-A684-53B3FEB2CFF0}"/>
                    </c:ext>
                  </c:extLst>
                </c:dPt>
                <c:dPt>
                  <c:idx val="25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07-F00B-484F-A684-53B3FEB2CFF0}"/>
                    </c:ext>
                  </c:extLst>
                </c:dPt>
                <c:dPt>
                  <c:idx val="25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09-F00B-484F-A684-53B3FEB2CFF0}"/>
                    </c:ext>
                  </c:extLst>
                </c:dPt>
                <c:dPt>
                  <c:idx val="26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0B-F00B-484F-A684-53B3FEB2CFF0}"/>
                    </c:ext>
                  </c:extLst>
                </c:dPt>
                <c:dPt>
                  <c:idx val="26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0D-F00B-484F-A684-53B3FEB2CFF0}"/>
                    </c:ext>
                  </c:extLst>
                </c:dPt>
                <c:dPt>
                  <c:idx val="26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0F-F00B-484F-A684-53B3FEB2CFF0}"/>
                    </c:ext>
                  </c:extLst>
                </c:dPt>
                <c:dPt>
                  <c:idx val="26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11-F00B-484F-A684-53B3FEB2CFF0}"/>
                    </c:ext>
                  </c:extLst>
                </c:dPt>
                <c:dPt>
                  <c:idx val="26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13-F00B-484F-A684-53B3FEB2CFF0}"/>
                    </c:ext>
                  </c:extLst>
                </c:dPt>
                <c:dPt>
                  <c:idx val="26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15-F00B-484F-A684-53B3FEB2CFF0}"/>
                    </c:ext>
                  </c:extLst>
                </c:dPt>
                <c:dPt>
                  <c:idx val="26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17-F00B-484F-A684-53B3FEB2CFF0}"/>
                    </c:ext>
                  </c:extLst>
                </c:dPt>
                <c:dPt>
                  <c:idx val="26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19-F00B-484F-A684-53B3FEB2CFF0}"/>
                    </c:ext>
                  </c:extLst>
                </c:dPt>
                <c:dPt>
                  <c:idx val="26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1B-F00B-484F-A684-53B3FEB2CFF0}"/>
                    </c:ext>
                  </c:extLst>
                </c:dPt>
                <c:dPt>
                  <c:idx val="26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1D-F00B-484F-A684-53B3FEB2CFF0}"/>
                    </c:ext>
                  </c:extLst>
                </c:dPt>
                <c:dPt>
                  <c:idx val="27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1F-F00B-484F-A684-53B3FEB2CFF0}"/>
                    </c:ext>
                  </c:extLst>
                </c:dPt>
                <c:dPt>
                  <c:idx val="27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21-F00B-484F-A684-53B3FEB2CFF0}"/>
                    </c:ext>
                  </c:extLst>
                </c:dPt>
                <c:dPt>
                  <c:idx val="27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23-F00B-484F-A684-53B3FEB2CFF0}"/>
                    </c:ext>
                  </c:extLst>
                </c:dPt>
                <c:dPt>
                  <c:idx val="27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25-F00B-484F-A684-53B3FEB2CFF0}"/>
                    </c:ext>
                  </c:extLst>
                </c:dPt>
                <c:dPt>
                  <c:idx val="27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27-F00B-484F-A684-53B3FEB2CFF0}"/>
                    </c:ext>
                  </c:extLst>
                </c:dPt>
                <c:dPt>
                  <c:idx val="27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29-F00B-484F-A684-53B3FEB2CFF0}"/>
                    </c:ext>
                  </c:extLst>
                </c:dPt>
                <c:dPt>
                  <c:idx val="27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2B-F00B-484F-A684-53B3FEB2CFF0}"/>
                    </c:ext>
                  </c:extLst>
                </c:dPt>
                <c:dPt>
                  <c:idx val="27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2D-F00B-484F-A684-53B3FEB2CFF0}"/>
                    </c:ext>
                  </c:extLst>
                </c:dPt>
                <c:dPt>
                  <c:idx val="27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2F-F00B-484F-A684-53B3FEB2CFF0}"/>
                    </c:ext>
                  </c:extLst>
                </c:dPt>
                <c:dPt>
                  <c:idx val="27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31-F00B-484F-A684-53B3FEB2CFF0}"/>
                    </c:ext>
                  </c:extLst>
                </c:dPt>
                <c:dPt>
                  <c:idx val="28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33-F00B-484F-A684-53B3FEB2CFF0}"/>
                    </c:ext>
                  </c:extLst>
                </c:dPt>
                <c:dPt>
                  <c:idx val="28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35-F00B-484F-A684-53B3FEB2CFF0}"/>
                    </c:ext>
                  </c:extLst>
                </c:dPt>
                <c:dPt>
                  <c:idx val="28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37-F00B-484F-A684-53B3FEB2CFF0}"/>
                    </c:ext>
                  </c:extLst>
                </c:dPt>
                <c:dPt>
                  <c:idx val="28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39-F00B-484F-A684-53B3FEB2CFF0}"/>
                    </c:ext>
                  </c:extLst>
                </c:dPt>
                <c:dPt>
                  <c:idx val="28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3B-F00B-484F-A684-53B3FEB2CFF0}"/>
                    </c:ext>
                  </c:extLst>
                </c:dPt>
                <c:dPt>
                  <c:idx val="28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3D-F00B-484F-A684-53B3FEB2CFF0}"/>
                    </c:ext>
                  </c:extLst>
                </c:dPt>
                <c:dPt>
                  <c:idx val="28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3F-F00B-484F-A684-53B3FEB2CFF0}"/>
                    </c:ext>
                  </c:extLst>
                </c:dPt>
                <c:dPt>
                  <c:idx val="28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41-F00B-484F-A684-53B3FEB2CFF0}"/>
                    </c:ext>
                  </c:extLst>
                </c:dPt>
                <c:dPt>
                  <c:idx val="28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43-F00B-484F-A684-53B3FEB2CFF0}"/>
                    </c:ext>
                  </c:extLst>
                </c:dPt>
                <c:dPt>
                  <c:idx val="28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45-F00B-484F-A684-53B3FEB2CFF0}"/>
                    </c:ext>
                  </c:extLst>
                </c:dPt>
                <c:dPt>
                  <c:idx val="29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47-F00B-484F-A684-53B3FEB2CFF0}"/>
                    </c:ext>
                  </c:extLst>
                </c:dPt>
                <c:dPt>
                  <c:idx val="29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49-F00B-484F-A684-53B3FEB2CFF0}"/>
                    </c:ext>
                  </c:extLst>
                </c:dPt>
                <c:dPt>
                  <c:idx val="29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4B-F00B-484F-A684-53B3FEB2CFF0}"/>
                    </c:ext>
                  </c:extLst>
                </c:dPt>
                <c:dPt>
                  <c:idx val="29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4D-F00B-484F-A684-53B3FEB2CFF0}"/>
                    </c:ext>
                  </c:extLst>
                </c:dPt>
                <c:dPt>
                  <c:idx val="29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4F-F00B-484F-A684-53B3FEB2CFF0}"/>
                    </c:ext>
                  </c:extLst>
                </c:dPt>
                <c:dPt>
                  <c:idx val="29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51-F00B-484F-A684-53B3FEB2CFF0}"/>
                    </c:ext>
                  </c:extLst>
                </c:dPt>
                <c:dPt>
                  <c:idx val="29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53-F00B-484F-A684-53B3FEB2CFF0}"/>
                    </c:ext>
                  </c:extLst>
                </c:dPt>
                <c:dPt>
                  <c:idx val="29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55-F00B-484F-A684-53B3FEB2CFF0}"/>
                    </c:ext>
                  </c:extLst>
                </c:dPt>
                <c:dPt>
                  <c:idx val="29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57-F00B-484F-A684-53B3FEB2CFF0}"/>
                    </c:ext>
                  </c:extLst>
                </c:dPt>
                <c:dPt>
                  <c:idx val="29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59-F00B-484F-A684-53B3FEB2CFF0}"/>
                    </c:ext>
                  </c:extLst>
                </c:dPt>
                <c:dPt>
                  <c:idx val="30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5B-F00B-484F-A684-53B3FEB2CFF0}"/>
                    </c:ext>
                  </c:extLst>
                </c:dPt>
                <c:dPt>
                  <c:idx val="30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5D-F00B-484F-A684-53B3FEB2CFF0}"/>
                    </c:ext>
                  </c:extLst>
                </c:dPt>
                <c:dPt>
                  <c:idx val="30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5F-F00B-484F-A684-53B3FEB2CFF0}"/>
                    </c:ext>
                  </c:extLst>
                </c:dPt>
                <c:dPt>
                  <c:idx val="30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61-F00B-484F-A684-53B3FEB2CFF0}"/>
                    </c:ext>
                  </c:extLst>
                </c:dPt>
                <c:dPt>
                  <c:idx val="30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63-F00B-484F-A684-53B3FEB2CFF0}"/>
                    </c:ext>
                  </c:extLst>
                </c:dPt>
                <c:dPt>
                  <c:idx val="30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65-F00B-484F-A684-53B3FEB2CFF0}"/>
                    </c:ext>
                  </c:extLst>
                </c:dPt>
                <c:dPt>
                  <c:idx val="30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67-F00B-484F-A684-53B3FEB2CFF0}"/>
                    </c:ext>
                  </c:extLst>
                </c:dPt>
                <c:dPt>
                  <c:idx val="30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69-F00B-484F-A684-53B3FEB2CFF0}"/>
                    </c:ext>
                  </c:extLst>
                </c:dPt>
                <c:dPt>
                  <c:idx val="30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6B-F00B-484F-A684-53B3FEB2CFF0}"/>
                    </c:ext>
                  </c:extLst>
                </c:dPt>
                <c:dPt>
                  <c:idx val="30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6D-F00B-484F-A684-53B3FEB2CFF0}"/>
                    </c:ext>
                  </c:extLst>
                </c:dPt>
                <c:dPt>
                  <c:idx val="31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6F-F00B-484F-A684-53B3FEB2CFF0}"/>
                    </c:ext>
                  </c:extLst>
                </c:dPt>
                <c:dPt>
                  <c:idx val="31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71-F00B-484F-A684-53B3FEB2CFF0}"/>
                    </c:ext>
                  </c:extLst>
                </c:dPt>
                <c:dPt>
                  <c:idx val="31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73-F00B-484F-A684-53B3FEB2CFF0}"/>
                    </c:ext>
                  </c:extLst>
                </c:dPt>
                <c:dPt>
                  <c:idx val="31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75-F00B-484F-A684-53B3FEB2CFF0}"/>
                    </c:ext>
                  </c:extLst>
                </c:dPt>
                <c:dPt>
                  <c:idx val="31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77-F00B-484F-A684-53B3FEB2CFF0}"/>
                    </c:ext>
                  </c:extLst>
                </c:dPt>
                <c:dPt>
                  <c:idx val="31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79-F00B-484F-A684-53B3FEB2CFF0}"/>
                    </c:ext>
                  </c:extLst>
                </c:dPt>
                <c:dPt>
                  <c:idx val="31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7B-F00B-484F-A684-53B3FEB2CFF0}"/>
                    </c:ext>
                  </c:extLst>
                </c:dPt>
                <c:dPt>
                  <c:idx val="31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7D-F00B-484F-A684-53B3FEB2CFF0}"/>
                    </c:ext>
                  </c:extLst>
                </c:dPt>
                <c:dPt>
                  <c:idx val="31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7F-F00B-484F-A684-53B3FEB2CFF0}"/>
                    </c:ext>
                  </c:extLst>
                </c:dPt>
                <c:dPt>
                  <c:idx val="31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81-F00B-484F-A684-53B3FEB2CFF0}"/>
                    </c:ext>
                  </c:extLst>
                </c:dPt>
                <c:dPt>
                  <c:idx val="32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83-F00B-484F-A684-53B3FEB2CFF0}"/>
                    </c:ext>
                  </c:extLst>
                </c:dPt>
                <c:dPt>
                  <c:idx val="32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85-F00B-484F-A684-53B3FEB2CFF0}"/>
                    </c:ext>
                  </c:extLst>
                </c:dPt>
                <c:dPt>
                  <c:idx val="32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87-F00B-484F-A684-53B3FEB2CFF0}"/>
                    </c:ext>
                  </c:extLst>
                </c:dPt>
                <c:dPt>
                  <c:idx val="32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89-F00B-484F-A684-53B3FEB2CFF0}"/>
                    </c:ext>
                  </c:extLst>
                </c:dPt>
                <c:dPt>
                  <c:idx val="32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8B-F00B-484F-A684-53B3FEB2CFF0}"/>
                    </c:ext>
                  </c:extLst>
                </c:dPt>
                <c:dPt>
                  <c:idx val="32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8D-F00B-484F-A684-53B3FEB2CFF0}"/>
                    </c:ext>
                  </c:extLst>
                </c:dPt>
                <c:dPt>
                  <c:idx val="32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8F-F00B-484F-A684-53B3FEB2CFF0}"/>
                    </c:ext>
                  </c:extLst>
                </c:dPt>
                <c:dPt>
                  <c:idx val="32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91-F00B-484F-A684-53B3FEB2CFF0}"/>
                    </c:ext>
                  </c:extLst>
                </c:dPt>
                <c:dPt>
                  <c:idx val="32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93-F00B-484F-A684-53B3FEB2CFF0}"/>
                    </c:ext>
                  </c:extLst>
                </c:dPt>
                <c:dPt>
                  <c:idx val="32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95-F00B-484F-A684-53B3FEB2CFF0}"/>
                    </c:ext>
                  </c:extLst>
                </c:dPt>
                <c:dPt>
                  <c:idx val="33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97-F00B-484F-A684-53B3FEB2CFF0}"/>
                    </c:ext>
                  </c:extLst>
                </c:dPt>
                <c:dPt>
                  <c:idx val="33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99-F00B-484F-A684-53B3FEB2CFF0}"/>
                    </c:ext>
                  </c:extLst>
                </c:dPt>
                <c:dPt>
                  <c:idx val="33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9B-F00B-484F-A684-53B3FEB2CFF0}"/>
                    </c:ext>
                  </c:extLst>
                </c:dPt>
                <c:dPt>
                  <c:idx val="33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9D-F00B-484F-A684-53B3FEB2CFF0}"/>
                    </c:ext>
                  </c:extLst>
                </c:dPt>
                <c:dPt>
                  <c:idx val="33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9F-F00B-484F-A684-53B3FEB2CFF0}"/>
                    </c:ext>
                  </c:extLst>
                </c:dPt>
                <c:dPt>
                  <c:idx val="33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A1-F00B-484F-A684-53B3FEB2CFF0}"/>
                    </c:ext>
                  </c:extLst>
                </c:dPt>
                <c:dPt>
                  <c:idx val="33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A3-F00B-484F-A684-53B3FEB2CFF0}"/>
                    </c:ext>
                  </c:extLst>
                </c:dPt>
                <c:dPt>
                  <c:idx val="33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A5-F00B-484F-A684-53B3FEB2CFF0}"/>
                    </c:ext>
                  </c:extLst>
                </c:dPt>
                <c:dPt>
                  <c:idx val="33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A7-F00B-484F-A684-53B3FEB2CFF0}"/>
                    </c:ext>
                  </c:extLst>
                </c:dPt>
                <c:dPt>
                  <c:idx val="33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A9-F00B-484F-A684-53B3FEB2CFF0}"/>
                    </c:ext>
                  </c:extLst>
                </c:dPt>
                <c:dPt>
                  <c:idx val="34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AB-F00B-484F-A684-53B3FEB2CFF0}"/>
                    </c:ext>
                  </c:extLst>
                </c:dPt>
                <c:dPt>
                  <c:idx val="34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AD-F00B-484F-A684-53B3FEB2CFF0}"/>
                    </c:ext>
                  </c:extLst>
                </c:dPt>
                <c:dPt>
                  <c:idx val="34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AF-F00B-484F-A684-53B3FEB2CFF0}"/>
                    </c:ext>
                  </c:extLst>
                </c:dPt>
                <c:dPt>
                  <c:idx val="34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B1-F00B-484F-A684-53B3FEB2CFF0}"/>
                    </c:ext>
                  </c:extLst>
                </c:dPt>
                <c:dPt>
                  <c:idx val="34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B3-F00B-484F-A684-53B3FEB2CFF0}"/>
                    </c:ext>
                  </c:extLst>
                </c:dPt>
                <c:dPt>
                  <c:idx val="34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B5-F00B-484F-A684-53B3FEB2CFF0}"/>
                    </c:ext>
                  </c:extLst>
                </c:dPt>
                <c:dPt>
                  <c:idx val="34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B7-F00B-484F-A684-53B3FEB2CFF0}"/>
                    </c:ext>
                  </c:extLst>
                </c:dPt>
                <c:dPt>
                  <c:idx val="34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B9-F00B-484F-A684-53B3FEB2CFF0}"/>
                    </c:ext>
                  </c:extLst>
                </c:dPt>
                <c:dPt>
                  <c:idx val="34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BB-F00B-484F-A684-53B3FEB2CFF0}"/>
                    </c:ext>
                  </c:extLst>
                </c:dPt>
                <c:dPt>
                  <c:idx val="34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BD-F00B-484F-A684-53B3FEB2CFF0}"/>
                    </c:ext>
                  </c:extLst>
                </c:dPt>
                <c:dPt>
                  <c:idx val="35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BF-F00B-484F-A684-53B3FEB2CFF0}"/>
                    </c:ext>
                  </c:extLst>
                </c:dPt>
                <c:dPt>
                  <c:idx val="35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C1-F00B-484F-A684-53B3FEB2CFF0}"/>
                    </c:ext>
                  </c:extLst>
                </c:dPt>
                <c:dPt>
                  <c:idx val="35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C3-F00B-484F-A684-53B3FEB2CFF0}"/>
                    </c:ext>
                  </c:extLst>
                </c:dPt>
                <c:dPt>
                  <c:idx val="35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C5-F00B-484F-A684-53B3FEB2CFF0}"/>
                    </c:ext>
                  </c:extLst>
                </c:dPt>
                <c:dPt>
                  <c:idx val="35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C7-F00B-484F-A684-53B3FEB2CFF0}"/>
                    </c:ext>
                  </c:extLst>
                </c:dPt>
                <c:dPt>
                  <c:idx val="35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C9-F00B-484F-A684-53B3FEB2CFF0}"/>
                    </c:ext>
                  </c:extLst>
                </c:dPt>
                <c:dPt>
                  <c:idx val="35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CB-F00B-484F-A684-53B3FEB2CFF0}"/>
                    </c:ext>
                  </c:extLst>
                </c:dPt>
                <c:dPt>
                  <c:idx val="35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CD-F00B-484F-A684-53B3FEB2CFF0}"/>
                    </c:ext>
                  </c:extLst>
                </c:dPt>
                <c:dPt>
                  <c:idx val="35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CF-F00B-484F-A684-53B3FEB2CFF0}"/>
                    </c:ext>
                  </c:extLst>
                </c:dPt>
                <c:dPt>
                  <c:idx val="35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D1-F00B-484F-A684-53B3FEB2CFF0}"/>
                    </c:ext>
                  </c:extLst>
                </c:dPt>
                <c:dPt>
                  <c:idx val="36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D3-F00B-484F-A684-53B3FEB2CFF0}"/>
                    </c:ext>
                  </c:extLst>
                </c:dPt>
                <c:dPt>
                  <c:idx val="36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D5-F00B-484F-A684-53B3FEB2CFF0}"/>
                    </c:ext>
                  </c:extLst>
                </c:dPt>
                <c:dPt>
                  <c:idx val="36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D7-F00B-484F-A684-53B3FEB2CFF0}"/>
                    </c:ext>
                  </c:extLst>
                </c:dPt>
                <c:dPt>
                  <c:idx val="36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D9-F00B-484F-A684-53B3FEB2CFF0}"/>
                    </c:ext>
                  </c:extLst>
                </c:dPt>
                <c:dPt>
                  <c:idx val="36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DB-F00B-484F-A684-53B3FEB2CFF0}"/>
                    </c:ext>
                  </c:extLst>
                </c:dPt>
                <c:dPt>
                  <c:idx val="36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DD-F00B-484F-A684-53B3FEB2CFF0}"/>
                    </c:ext>
                  </c:extLst>
                </c:dPt>
                <c:dPt>
                  <c:idx val="36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DF-F00B-484F-A684-53B3FEB2CFF0}"/>
                    </c:ext>
                  </c:extLst>
                </c:dPt>
                <c:dPt>
                  <c:idx val="36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E1-F00B-484F-A684-53B3FEB2CFF0}"/>
                    </c:ext>
                  </c:extLst>
                </c:dPt>
                <c:dPt>
                  <c:idx val="36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E3-F00B-484F-A684-53B3FEB2CFF0}"/>
                    </c:ext>
                  </c:extLst>
                </c:dPt>
                <c:dPt>
                  <c:idx val="36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E5-F00B-484F-A684-53B3FEB2CFF0}"/>
                    </c:ext>
                  </c:extLst>
                </c:dPt>
                <c:dPt>
                  <c:idx val="37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E7-F00B-484F-A684-53B3FEB2CFF0}"/>
                    </c:ext>
                  </c:extLst>
                </c:dPt>
                <c:dPt>
                  <c:idx val="37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E9-F00B-484F-A684-53B3FEB2CFF0}"/>
                    </c:ext>
                  </c:extLst>
                </c:dPt>
                <c:dPt>
                  <c:idx val="37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EB-F00B-484F-A684-53B3FEB2CFF0}"/>
                    </c:ext>
                  </c:extLst>
                </c:dPt>
                <c:dPt>
                  <c:idx val="37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ED-F00B-484F-A684-53B3FEB2CFF0}"/>
                    </c:ext>
                  </c:extLst>
                </c:dPt>
                <c:dPt>
                  <c:idx val="37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EF-F00B-484F-A684-53B3FEB2CFF0}"/>
                    </c:ext>
                  </c:extLst>
                </c:dPt>
                <c:dPt>
                  <c:idx val="37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F1-F00B-484F-A684-53B3FEB2CFF0}"/>
                    </c:ext>
                  </c:extLst>
                </c:dPt>
                <c:dPt>
                  <c:idx val="37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F3-F00B-484F-A684-53B3FEB2CFF0}"/>
                    </c:ext>
                  </c:extLst>
                </c:dPt>
                <c:dPt>
                  <c:idx val="37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F5-F00B-484F-A684-53B3FEB2CFF0}"/>
                    </c:ext>
                  </c:extLst>
                </c:dPt>
                <c:dPt>
                  <c:idx val="37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F7-F00B-484F-A684-53B3FEB2CFF0}"/>
                    </c:ext>
                  </c:extLst>
                </c:dPt>
                <c:dPt>
                  <c:idx val="37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F9-F00B-484F-A684-53B3FEB2CFF0}"/>
                    </c:ext>
                  </c:extLst>
                </c:dPt>
                <c:dPt>
                  <c:idx val="38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FB-F00B-484F-A684-53B3FEB2CFF0}"/>
                    </c:ext>
                  </c:extLst>
                </c:dPt>
                <c:dPt>
                  <c:idx val="38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FD-F00B-484F-A684-53B3FEB2CFF0}"/>
                    </c:ext>
                  </c:extLst>
                </c:dPt>
                <c:dPt>
                  <c:idx val="38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FF-F00B-484F-A684-53B3FEB2CFF0}"/>
                    </c:ext>
                  </c:extLst>
                </c:dPt>
                <c:dPt>
                  <c:idx val="38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01-F00B-484F-A684-53B3FEB2CFF0}"/>
                    </c:ext>
                  </c:extLst>
                </c:dPt>
                <c:dPt>
                  <c:idx val="38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03-F00B-484F-A684-53B3FEB2CFF0}"/>
                    </c:ext>
                  </c:extLst>
                </c:dPt>
                <c:dPt>
                  <c:idx val="38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05-F00B-484F-A684-53B3FEB2CFF0}"/>
                    </c:ext>
                  </c:extLst>
                </c:dPt>
                <c:dPt>
                  <c:idx val="38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07-F00B-484F-A684-53B3FEB2CFF0}"/>
                    </c:ext>
                  </c:extLst>
                </c:dPt>
                <c:dPt>
                  <c:idx val="38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09-F00B-484F-A684-53B3FEB2CFF0}"/>
                    </c:ext>
                  </c:extLst>
                </c:dPt>
                <c:dPt>
                  <c:idx val="38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0B-F00B-484F-A684-53B3FEB2CFF0}"/>
                    </c:ext>
                  </c:extLst>
                </c:dPt>
                <c:dPt>
                  <c:idx val="38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0D-F00B-484F-A684-53B3FEB2CFF0}"/>
                    </c:ext>
                  </c:extLst>
                </c:dPt>
                <c:dPt>
                  <c:idx val="39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0F-F00B-484F-A684-53B3FEB2CFF0}"/>
                    </c:ext>
                  </c:extLst>
                </c:dPt>
                <c:dPt>
                  <c:idx val="39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11-F00B-484F-A684-53B3FEB2CFF0}"/>
                    </c:ext>
                  </c:extLst>
                </c:dPt>
                <c:dPt>
                  <c:idx val="39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13-F00B-484F-A684-53B3FEB2CFF0}"/>
                    </c:ext>
                  </c:extLst>
                </c:dPt>
                <c:dPt>
                  <c:idx val="39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15-F00B-484F-A684-53B3FEB2CFF0}"/>
                    </c:ext>
                  </c:extLst>
                </c:dPt>
                <c:dPt>
                  <c:idx val="39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17-F00B-484F-A684-53B3FEB2CFF0}"/>
                    </c:ext>
                  </c:extLst>
                </c:dPt>
                <c:dPt>
                  <c:idx val="39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19-F00B-484F-A684-53B3FEB2CFF0}"/>
                    </c:ext>
                  </c:extLst>
                </c:dPt>
                <c:dPt>
                  <c:idx val="39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1B-F00B-484F-A684-53B3FEB2CFF0}"/>
                    </c:ext>
                  </c:extLst>
                </c:dPt>
                <c:dPt>
                  <c:idx val="39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1D-F00B-484F-A684-53B3FEB2CFF0}"/>
                    </c:ext>
                  </c:extLst>
                </c:dPt>
                <c:dPt>
                  <c:idx val="39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1F-F00B-484F-A684-53B3FEB2CFF0}"/>
                    </c:ext>
                  </c:extLst>
                </c:dPt>
                <c:dPt>
                  <c:idx val="39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21-F00B-484F-A684-53B3FEB2CFF0}"/>
                    </c:ext>
                  </c:extLst>
                </c:dPt>
                <c:dPt>
                  <c:idx val="40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23-F00B-484F-A684-53B3FEB2CFF0}"/>
                    </c:ext>
                  </c:extLst>
                </c:dPt>
                <c:dPt>
                  <c:idx val="40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25-F00B-484F-A684-53B3FEB2CFF0}"/>
                    </c:ext>
                  </c:extLst>
                </c:dPt>
                <c:dPt>
                  <c:idx val="40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27-F00B-484F-A684-53B3FEB2CFF0}"/>
                    </c:ext>
                  </c:extLst>
                </c:dPt>
                <c:dPt>
                  <c:idx val="40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29-F00B-484F-A684-53B3FEB2CFF0}"/>
                    </c:ext>
                  </c:extLst>
                </c:dPt>
                <c:dPt>
                  <c:idx val="40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2B-F00B-484F-A684-53B3FEB2CFF0}"/>
                    </c:ext>
                  </c:extLst>
                </c:dPt>
                <c:dPt>
                  <c:idx val="40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2D-F00B-484F-A684-53B3FEB2CFF0}"/>
                    </c:ext>
                  </c:extLst>
                </c:dPt>
                <c:dPt>
                  <c:idx val="40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2F-F00B-484F-A684-53B3FEB2CFF0}"/>
                    </c:ext>
                  </c:extLst>
                </c:dPt>
                <c:dPt>
                  <c:idx val="40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31-F00B-484F-A684-53B3FEB2CFF0}"/>
                    </c:ext>
                  </c:extLst>
                </c:dPt>
                <c:dPt>
                  <c:idx val="40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33-F00B-484F-A684-53B3FEB2CFF0}"/>
                    </c:ext>
                  </c:extLst>
                </c:dPt>
                <c:dPt>
                  <c:idx val="40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35-F00B-484F-A684-53B3FEB2CFF0}"/>
                    </c:ext>
                  </c:extLst>
                </c:dPt>
                <c:dPt>
                  <c:idx val="41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37-F00B-484F-A684-53B3FEB2CFF0}"/>
                    </c:ext>
                  </c:extLst>
                </c:dPt>
                <c:dPt>
                  <c:idx val="41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39-F00B-484F-A684-53B3FEB2CFF0}"/>
                    </c:ext>
                  </c:extLst>
                </c:dPt>
                <c:dPt>
                  <c:idx val="41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3B-F00B-484F-A684-53B3FEB2CFF0}"/>
                    </c:ext>
                  </c:extLst>
                </c:dPt>
                <c:dPt>
                  <c:idx val="41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3D-F00B-484F-A684-53B3FEB2CFF0}"/>
                    </c:ext>
                  </c:extLst>
                </c:dPt>
                <c:dPt>
                  <c:idx val="41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3F-F00B-484F-A684-53B3FEB2CFF0}"/>
                    </c:ext>
                  </c:extLst>
                </c:dPt>
                <c:dPt>
                  <c:idx val="41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41-F00B-484F-A684-53B3FEB2CFF0}"/>
                    </c:ext>
                  </c:extLst>
                </c:dPt>
                <c:dPt>
                  <c:idx val="41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43-F00B-484F-A684-53B3FEB2CFF0}"/>
                    </c:ext>
                  </c:extLst>
                </c:dPt>
                <c:dPt>
                  <c:idx val="41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45-F00B-484F-A684-53B3FEB2CFF0}"/>
                    </c:ext>
                  </c:extLst>
                </c:dPt>
                <c:dPt>
                  <c:idx val="41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47-F00B-484F-A684-53B3FEB2CFF0}"/>
                    </c:ext>
                  </c:extLst>
                </c:dPt>
                <c:dPt>
                  <c:idx val="41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49-F00B-484F-A684-53B3FEB2CFF0}"/>
                    </c:ext>
                  </c:extLst>
                </c:dPt>
                <c:dPt>
                  <c:idx val="42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4B-F00B-484F-A684-53B3FEB2CFF0}"/>
                    </c:ext>
                  </c:extLst>
                </c:dPt>
                <c:dPt>
                  <c:idx val="42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4D-F00B-484F-A684-53B3FEB2CFF0}"/>
                    </c:ext>
                  </c:extLst>
                </c:dPt>
                <c:dPt>
                  <c:idx val="42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4F-F00B-484F-A684-53B3FEB2CFF0}"/>
                    </c:ext>
                  </c:extLst>
                </c:dPt>
                <c:dPt>
                  <c:idx val="42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51-F00B-484F-A684-53B3FEB2CFF0}"/>
                    </c:ext>
                  </c:extLst>
                </c:dPt>
                <c:dPt>
                  <c:idx val="42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53-F00B-484F-A684-53B3FEB2CFF0}"/>
                    </c:ext>
                  </c:extLst>
                </c:dPt>
                <c:dPt>
                  <c:idx val="42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55-F00B-484F-A684-53B3FEB2CFF0}"/>
                    </c:ext>
                  </c:extLst>
                </c:dPt>
                <c:dPt>
                  <c:idx val="42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57-F00B-484F-A684-53B3FEB2CFF0}"/>
                    </c:ext>
                  </c:extLst>
                </c:dPt>
                <c:dPt>
                  <c:idx val="42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59-F00B-484F-A684-53B3FEB2CFF0}"/>
                    </c:ext>
                  </c:extLst>
                </c:dPt>
                <c:dPt>
                  <c:idx val="42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5B-F00B-484F-A684-53B3FEB2CFF0}"/>
                    </c:ext>
                  </c:extLst>
                </c:dPt>
                <c:dPt>
                  <c:idx val="42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5D-F00B-484F-A684-53B3FEB2CFF0}"/>
                    </c:ext>
                  </c:extLst>
                </c:dPt>
                <c:dPt>
                  <c:idx val="43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5F-F00B-484F-A684-53B3FEB2CFF0}"/>
                    </c:ext>
                  </c:extLst>
                </c:dPt>
                <c:dPt>
                  <c:idx val="43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61-F00B-484F-A684-53B3FEB2CFF0}"/>
                    </c:ext>
                  </c:extLst>
                </c:dPt>
                <c:dPt>
                  <c:idx val="43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63-F00B-484F-A684-53B3FEB2CFF0}"/>
                    </c:ext>
                  </c:extLst>
                </c:dPt>
                <c:dPt>
                  <c:idx val="43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65-F00B-484F-A684-53B3FEB2CFF0}"/>
                    </c:ext>
                  </c:extLst>
                </c:dPt>
                <c:dPt>
                  <c:idx val="43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67-F00B-484F-A684-53B3FEB2CFF0}"/>
                    </c:ext>
                  </c:extLst>
                </c:dPt>
                <c:dPt>
                  <c:idx val="43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69-F00B-484F-A684-53B3FEB2CFF0}"/>
                    </c:ext>
                  </c:extLst>
                </c:dPt>
                <c:dPt>
                  <c:idx val="43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6B-F00B-484F-A684-53B3FEB2CFF0}"/>
                    </c:ext>
                  </c:extLst>
                </c:dPt>
                <c:dPt>
                  <c:idx val="43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6D-F00B-484F-A684-53B3FEB2CFF0}"/>
                    </c:ext>
                  </c:extLst>
                </c:dPt>
                <c:dPt>
                  <c:idx val="43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6F-F00B-484F-A684-53B3FEB2CFF0}"/>
                    </c:ext>
                  </c:extLst>
                </c:dPt>
                <c:dPt>
                  <c:idx val="43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71-F00B-484F-A684-53B3FEB2CFF0}"/>
                    </c:ext>
                  </c:extLst>
                </c:dPt>
                <c:dPt>
                  <c:idx val="44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73-F00B-484F-A684-53B3FEB2CFF0}"/>
                    </c:ext>
                  </c:extLst>
                </c:dPt>
                <c:dPt>
                  <c:idx val="44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75-F00B-484F-A684-53B3FEB2CFF0}"/>
                    </c:ext>
                  </c:extLst>
                </c:dPt>
                <c:dPt>
                  <c:idx val="44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77-F00B-484F-A684-53B3FEB2CFF0}"/>
                    </c:ext>
                  </c:extLst>
                </c:dPt>
                <c:dPt>
                  <c:idx val="44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79-F00B-484F-A684-53B3FEB2CFF0}"/>
                    </c:ext>
                  </c:extLst>
                </c:dPt>
                <c:dPt>
                  <c:idx val="44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7B-F00B-484F-A684-53B3FEB2CFF0}"/>
                    </c:ext>
                  </c:extLst>
                </c:dPt>
                <c:dPt>
                  <c:idx val="44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7D-F00B-484F-A684-53B3FEB2CFF0}"/>
                    </c:ext>
                  </c:extLst>
                </c:dPt>
                <c:dPt>
                  <c:idx val="44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7F-F00B-484F-A684-53B3FEB2CFF0}"/>
                    </c:ext>
                  </c:extLst>
                </c:dPt>
                <c:dPt>
                  <c:idx val="44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81-F00B-484F-A684-53B3FEB2CFF0}"/>
                    </c:ext>
                  </c:extLst>
                </c:dPt>
                <c:dPt>
                  <c:idx val="44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83-F00B-484F-A684-53B3FEB2CFF0}"/>
                    </c:ext>
                  </c:extLst>
                </c:dPt>
                <c:dPt>
                  <c:idx val="44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85-F00B-484F-A684-53B3FEB2CFF0}"/>
                    </c:ext>
                  </c:extLst>
                </c:dPt>
                <c:dPt>
                  <c:idx val="45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87-F00B-484F-A684-53B3FEB2CFF0}"/>
                    </c:ext>
                  </c:extLst>
                </c:dPt>
                <c:dPt>
                  <c:idx val="45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89-F00B-484F-A684-53B3FEB2CFF0}"/>
                    </c:ext>
                  </c:extLst>
                </c:dPt>
                <c:dPt>
                  <c:idx val="45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8B-F00B-484F-A684-53B3FEB2CFF0}"/>
                    </c:ext>
                  </c:extLst>
                </c:dPt>
                <c:dPt>
                  <c:idx val="45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8D-F00B-484F-A684-53B3FEB2CFF0}"/>
                    </c:ext>
                  </c:extLst>
                </c:dPt>
                <c:dPt>
                  <c:idx val="45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8F-F00B-484F-A684-53B3FEB2CFF0}"/>
                    </c:ext>
                  </c:extLst>
                </c:dPt>
                <c:dPt>
                  <c:idx val="45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91-F00B-484F-A684-53B3FEB2CFF0}"/>
                    </c:ext>
                  </c:extLst>
                </c:dPt>
                <c:dPt>
                  <c:idx val="45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93-F00B-484F-A684-53B3FEB2CFF0}"/>
                    </c:ext>
                  </c:extLst>
                </c:dPt>
                <c:dPt>
                  <c:idx val="45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95-F00B-484F-A684-53B3FEB2CFF0}"/>
                    </c:ext>
                  </c:extLst>
                </c:dPt>
                <c:dPt>
                  <c:idx val="45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97-F00B-484F-A684-53B3FEB2CFF0}"/>
                    </c:ext>
                  </c:extLst>
                </c:dPt>
                <c:dPt>
                  <c:idx val="45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99-F00B-484F-A684-53B3FEB2CFF0}"/>
                    </c:ext>
                  </c:extLst>
                </c:dPt>
                <c:dPt>
                  <c:idx val="46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9B-F00B-484F-A684-53B3FEB2CFF0}"/>
                    </c:ext>
                  </c:extLst>
                </c:dPt>
                <c:dPt>
                  <c:idx val="46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9D-F00B-484F-A684-53B3FEB2CFF0}"/>
                    </c:ext>
                  </c:extLst>
                </c:dPt>
                <c:dPt>
                  <c:idx val="46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9F-F00B-484F-A684-53B3FEB2CFF0}"/>
                    </c:ext>
                  </c:extLst>
                </c:dPt>
                <c:dPt>
                  <c:idx val="46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A1-F00B-484F-A684-53B3FEB2CFF0}"/>
                    </c:ext>
                  </c:extLst>
                </c:dPt>
                <c:dPt>
                  <c:idx val="46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A3-F00B-484F-A684-53B3FEB2CFF0}"/>
                    </c:ext>
                  </c:extLst>
                </c:dPt>
                <c:dPt>
                  <c:idx val="46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A5-F00B-484F-A684-53B3FEB2CFF0}"/>
                    </c:ext>
                  </c:extLst>
                </c:dPt>
                <c:dPt>
                  <c:idx val="46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A7-F00B-484F-A684-53B3FEB2CFF0}"/>
                    </c:ext>
                  </c:extLst>
                </c:dPt>
                <c:dPt>
                  <c:idx val="46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A9-F00B-484F-A684-53B3FEB2CFF0}"/>
                    </c:ext>
                  </c:extLst>
                </c:dPt>
                <c:dPt>
                  <c:idx val="46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AB-F00B-484F-A684-53B3FEB2CFF0}"/>
                    </c:ext>
                  </c:extLst>
                </c:dPt>
                <c:dPt>
                  <c:idx val="46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AD-F00B-484F-A684-53B3FEB2CFF0}"/>
                    </c:ext>
                  </c:extLst>
                </c:dPt>
                <c:dPt>
                  <c:idx val="47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AF-F00B-484F-A684-53B3FEB2CFF0}"/>
                    </c:ext>
                  </c:extLst>
                </c:dPt>
                <c:dPt>
                  <c:idx val="47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B1-F00B-484F-A684-53B3FEB2CFF0}"/>
                    </c:ext>
                  </c:extLst>
                </c:dPt>
                <c:dPt>
                  <c:idx val="47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B3-F00B-484F-A684-53B3FEB2CFF0}"/>
                    </c:ext>
                  </c:extLst>
                </c:dPt>
                <c:dPt>
                  <c:idx val="47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B5-F00B-484F-A684-53B3FEB2CFF0}"/>
                    </c:ext>
                  </c:extLst>
                </c:dPt>
                <c:dPt>
                  <c:idx val="47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B7-F00B-484F-A684-53B3FEB2CFF0}"/>
                    </c:ext>
                  </c:extLst>
                </c:dPt>
                <c:dPt>
                  <c:idx val="47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B9-F00B-484F-A684-53B3FEB2CFF0}"/>
                    </c:ext>
                  </c:extLst>
                </c:dPt>
                <c:dPt>
                  <c:idx val="47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BB-F00B-484F-A684-53B3FEB2CFF0}"/>
                    </c:ext>
                  </c:extLst>
                </c:dPt>
                <c:dPt>
                  <c:idx val="47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BD-F00B-484F-A684-53B3FEB2CFF0}"/>
                    </c:ext>
                  </c:extLst>
                </c:dPt>
                <c:dPt>
                  <c:idx val="47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BF-F00B-484F-A684-53B3FEB2CFF0}"/>
                    </c:ext>
                  </c:extLst>
                </c:dPt>
                <c:dPt>
                  <c:idx val="47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C1-F00B-484F-A684-53B3FEB2CFF0}"/>
                    </c:ext>
                  </c:extLst>
                </c:dPt>
                <c:dPt>
                  <c:idx val="48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C3-F00B-484F-A684-53B3FEB2CFF0}"/>
                    </c:ext>
                  </c:extLst>
                </c:dPt>
                <c:dPt>
                  <c:idx val="48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C5-F00B-484F-A684-53B3FEB2CFF0}"/>
                    </c:ext>
                  </c:extLst>
                </c:dPt>
                <c:dPt>
                  <c:idx val="48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C7-F00B-484F-A684-53B3FEB2CFF0}"/>
                    </c:ext>
                  </c:extLst>
                </c:dPt>
                <c:dPt>
                  <c:idx val="48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C9-F00B-484F-A684-53B3FEB2CFF0}"/>
                    </c:ext>
                  </c:extLst>
                </c:dPt>
                <c:dPt>
                  <c:idx val="48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CB-F00B-484F-A684-53B3FEB2CFF0}"/>
                    </c:ext>
                  </c:extLst>
                </c:dPt>
                <c:dPt>
                  <c:idx val="48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CD-F00B-484F-A684-53B3FEB2CFF0}"/>
                    </c:ext>
                  </c:extLst>
                </c:dPt>
                <c:dPt>
                  <c:idx val="48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CF-F00B-484F-A684-53B3FEB2CFF0}"/>
                    </c:ext>
                  </c:extLst>
                </c:dPt>
                <c:dPt>
                  <c:idx val="48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D1-F00B-484F-A684-53B3FEB2CFF0}"/>
                    </c:ext>
                  </c:extLst>
                </c:dPt>
                <c:dPt>
                  <c:idx val="48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D3-F00B-484F-A684-53B3FEB2CFF0}"/>
                    </c:ext>
                  </c:extLst>
                </c:dPt>
                <c:dPt>
                  <c:idx val="48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D5-F00B-484F-A684-53B3FEB2CFF0}"/>
                    </c:ext>
                  </c:extLst>
                </c:dPt>
                <c:dPt>
                  <c:idx val="49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D7-F00B-484F-A684-53B3FEB2CFF0}"/>
                    </c:ext>
                  </c:extLst>
                </c:dPt>
                <c:dPt>
                  <c:idx val="49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D9-F00B-484F-A684-53B3FEB2CFF0}"/>
                    </c:ext>
                  </c:extLst>
                </c:dPt>
                <c:dPt>
                  <c:idx val="49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DB-F00B-484F-A684-53B3FEB2CFF0}"/>
                    </c:ext>
                  </c:extLst>
                </c:dPt>
                <c:dPt>
                  <c:idx val="49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DD-F00B-484F-A684-53B3FEB2CFF0}"/>
                    </c:ext>
                  </c:extLst>
                </c:dPt>
                <c:dPt>
                  <c:idx val="49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DF-F00B-484F-A684-53B3FEB2CFF0}"/>
                    </c:ext>
                  </c:extLst>
                </c:dPt>
                <c:dPt>
                  <c:idx val="49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E1-F00B-484F-A684-53B3FEB2CFF0}"/>
                    </c:ext>
                  </c:extLst>
                </c:dPt>
                <c:dPt>
                  <c:idx val="49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E3-F00B-484F-A684-53B3FEB2CFF0}"/>
                    </c:ext>
                  </c:extLst>
                </c:dPt>
                <c:dPt>
                  <c:idx val="49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E5-F00B-484F-A684-53B3FEB2CFF0}"/>
                    </c:ext>
                  </c:extLst>
                </c:dPt>
                <c:dPt>
                  <c:idx val="49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E7-F00B-484F-A684-53B3FEB2CFF0}"/>
                    </c:ext>
                  </c:extLst>
                </c:dPt>
                <c:dPt>
                  <c:idx val="49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E9-F00B-484F-A684-53B3FEB2CFF0}"/>
                    </c:ext>
                  </c:extLst>
                </c:dPt>
                <c:dPt>
                  <c:idx val="50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EB-F00B-484F-A684-53B3FEB2CFF0}"/>
                    </c:ext>
                  </c:extLst>
                </c:dPt>
                <c:dPt>
                  <c:idx val="50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ED-F00B-484F-A684-53B3FEB2CFF0}"/>
                    </c:ext>
                  </c:extLst>
                </c:dPt>
                <c:dPt>
                  <c:idx val="50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EF-F00B-484F-A684-53B3FEB2CFF0}"/>
                    </c:ext>
                  </c:extLst>
                </c:dPt>
                <c:dPt>
                  <c:idx val="50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F1-F00B-484F-A684-53B3FEB2CFF0}"/>
                    </c:ext>
                  </c:extLst>
                </c:dPt>
                <c:dPt>
                  <c:idx val="50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F3-F00B-484F-A684-53B3FEB2CFF0}"/>
                    </c:ext>
                  </c:extLst>
                </c:dPt>
                <c:dPt>
                  <c:idx val="50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F5-F00B-484F-A684-53B3FEB2CFF0}"/>
                    </c:ext>
                  </c:extLst>
                </c:dPt>
                <c:dPt>
                  <c:idx val="50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F7-F00B-484F-A684-53B3FEB2CFF0}"/>
                    </c:ext>
                  </c:extLst>
                </c:dPt>
                <c:dPt>
                  <c:idx val="50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F9-F00B-484F-A684-53B3FEB2CFF0}"/>
                    </c:ext>
                  </c:extLst>
                </c:dPt>
                <c:dPt>
                  <c:idx val="50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FB-F00B-484F-A684-53B3FEB2CFF0}"/>
                    </c:ext>
                  </c:extLst>
                </c:dPt>
                <c:dPt>
                  <c:idx val="50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FD-F00B-484F-A684-53B3FEB2CFF0}"/>
                    </c:ext>
                  </c:extLst>
                </c:dPt>
                <c:dPt>
                  <c:idx val="51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FF-F00B-484F-A684-53B3FEB2CFF0}"/>
                    </c:ext>
                  </c:extLst>
                </c:dPt>
                <c:dPt>
                  <c:idx val="51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01-F00B-484F-A684-53B3FEB2CFF0}"/>
                    </c:ext>
                  </c:extLst>
                </c:dPt>
                <c:dPt>
                  <c:idx val="51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03-F00B-484F-A684-53B3FEB2CFF0}"/>
                    </c:ext>
                  </c:extLst>
                </c:dPt>
                <c:dPt>
                  <c:idx val="51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05-F00B-484F-A684-53B3FEB2CFF0}"/>
                    </c:ext>
                  </c:extLst>
                </c:dPt>
                <c:dPt>
                  <c:idx val="51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07-F00B-484F-A684-53B3FEB2CFF0}"/>
                    </c:ext>
                  </c:extLst>
                </c:dPt>
                <c:dPt>
                  <c:idx val="51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09-F00B-484F-A684-53B3FEB2CFF0}"/>
                    </c:ext>
                  </c:extLst>
                </c:dPt>
                <c:dPt>
                  <c:idx val="51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0B-F00B-484F-A684-53B3FEB2CFF0}"/>
                    </c:ext>
                  </c:extLst>
                </c:dPt>
                <c:dPt>
                  <c:idx val="51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0D-F00B-484F-A684-53B3FEB2CFF0}"/>
                    </c:ext>
                  </c:extLst>
                </c:dPt>
                <c:dPt>
                  <c:idx val="51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0F-F00B-484F-A684-53B3FEB2CFF0}"/>
                    </c:ext>
                  </c:extLst>
                </c:dPt>
                <c:dPt>
                  <c:idx val="51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11-F00B-484F-A684-53B3FEB2CFF0}"/>
                    </c:ext>
                  </c:extLst>
                </c:dPt>
                <c:dPt>
                  <c:idx val="52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13-F00B-484F-A684-53B3FEB2CFF0}"/>
                    </c:ext>
                  </c:extLst>
                </c:dPt>
                <c:dPt>
                  <c:idx val="52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15-F00B-484F-A684-53B3FEB2CFF0}"/>
                    </c:ext>
                  </c:extLst>
                </c:dPt>
                <c:dPt>
                  <c:idx val="52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17-F00B-484F-A684-53B3FEB2CFF0}"/>
                    </c:ext>
                  </c:extLst>
                </c:dPt>
                <c:dPt>
                  <c:idx val="52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19-F00B-484F-A684-53B3FEB2CFF0}"/>
                    </c:ext>
                  </c:extLst>
                </c:dPt>
                <c:dPt>
                  <c:idx val="52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1B-F00B-484F-A684-53B3FEB2CFF0}"/>
                    </c:ext>
                  </c:extLst>
                </c:dPt>
                <c:dPt>
                  <c:idx val="52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1D-F00B-484F-A684-53B3FEB2CFF0}"/>
                    </c:ext>
                  </c:extLst>
                </c:dPt>
                <c:dPt>
                  <c:idx val="52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1F-F00B-484F-A684-53B3FEB2CFF0}"/>
                    </c:ext>
                  </c:extLst>
                </c:dPt>
                <c:dPt>
                  <c:idx val="52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21-F00B-484F-A684-53B3FEB2CFF0}"/>
                    </c:ext>
                  </c:extLst>
                </c:dPt>
                <c:dPt>
                  <c:idx val="52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23-F00B-484F-A684-53B3FEB2CFF0}"/>
                    </c:ext>
                  </c:extLst>
                </c:dPt>
                <c:dPt>
                  <c:idx val="52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25-F00B-484F-A684-53B3FEB2CFF0}"/>
                    </c:ext>
                  </c:extLst>
                </c:dPt>
                <c:dPt>
                  <c:idx val="53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27-F00B-484F-A684-53B3FEB2CFF0}"/>
                    </c:ext>
                  </c:extLst>
                </c:dPt>
                <c:dPt>
                  <c:idx val="53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29-F00B-484F-A684-53B3FEB2CFF0}"/>
                    </c:ext>
                  </c:extLst>
                </c:dPt>
                <c:dPt>
                  <c:idx val="53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2B-F00B-484F-A684-53B3FEB2CFF0}"/>
                    </c:ext>
                  </c:extLst>
                </c:dPt>
                <c:dPt>
                  <c:idx val="53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2D-F00B-484F-A684-53B3FEB2CFF0}"/>
                    </c:ext>
                  </c:extLst>
                </c:dPt>
                <c:dPt>
                  <c:idx val="53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2F-F00B-484F-A684-53B3FEB2CFF0}"/>
                    </c:ext>
                  </c:extLst>
                </c:dPt>
                <c:dPt>
                  <c:idx val="53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31-F00B-484F-A684-53B3FEB2CFF0}"/>
                    </c:ext>
                  </c:extLst>
                </c:dPt>
                <c:dPt>
                  <c:idx val="53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33-F00B-484F-A684-53B3FEB2CFF0}"/>
                    </c:ext>
                  </c:extLst>
                </c:dPt>
                <c:dPt>
                  <c:idx val="53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35-F00B-484F-A684-53B3FEB2CFF0}"/>
                    </c:ext>
                  </c:extLst>
                </c:dPt>
                <c:dPt>
                  <c:idx val="53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37-F00B-484F-A684-53B3FEB2CFF0}"/>
                    </c:ext>
                  </c:extLst>
                </c:dPt>
                <c:dPt>
                  <c:idx val="53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39-F00B-484F-A684-53B3FEB2CFF0}"/>
                    </c:ext>
                  </c:extLst>
                </c:dPt>
                <c:dPt>
                  <c:idx val="54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3B-F00B-484F-A684-53B3FEB2CFF0}"/>
                    </c:ext>
                  </c:extLst>
                </c:dPt>
                <c:dPt>
                  <c:idx val="54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3D-F00B-484F-A684-53B3FEB2CFF0}"/>
                    </c:ext>
                  </c:extLst>
                </c:dPt>
                <c:dPt>
                  <c:idx val="54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3F-F00B-484F-A684-53B3FEB2CFF0}"/>
                    </c:ext>
                  </c:extLst>
                </c:dPt>
                <c:dPt>
                  <c:idx val="54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41-F00B-484F-A684-53B3FEB2CFF0}"/>
                    </c:ext>
                  </c:extLst>
                </c:dPt>
                <c:dPt>
                  <c:idx val="54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43-F00B-484F-A684-53B3FEB2CFF0}"/>
                    </c:ext>
                  </c:extLst>
                </c:dPt>
                <c:dPt>
                  <c:idx val="54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45-F00B-484F-A684-53B3FEB2CFF0}"/>
                    </c:ext>
                  </c:extLst>
                </c:dPt>
                <c:dPt>
                  <c:idx val="54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47-F00B-484F-A684-53B3FEB2CFF0}"/>
                    </c:ext>
                  </c:extLst>
                </c:dPt>
                <c:dPt>
                  <c:idx val="54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49-F00B-484F-A684-53B3FEB2CFF0}"/>
                    </c:ext>
                  </c:extLst>
                </c:dPt>
                <c:dPt>
                  <c:idx val="54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4B-F00B-484F-A684-53B3FEB2CFF0}"/>
                    </c:ext>
                  </c:extLst>
                </c:dPt>
                <c:dPt>
                  <c:idx val="54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4D-F00B-484F-A684-53B3FEB2CFF0}"/>
                    </c:ext>
                  </c:extLst>
                </c:dPt>
                <c:dPt>
                  <c:idx val="55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4F-F00B-484F-A684-53B3FEB2CFF0}"/>
                    </c:ext>
                  </c:extLst>
                </c:dPt>
                <c:dPt>
                  <c:idx val="55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51-F00B-484F-A684-53B3FEB2CFF0}"/>
                    </c:ext>
                  </c:extLst>
                </c:dPt>
                <c:dPt>
                  <c:idx val="55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53-F00B-484F-A684-53B3FEB2CFF0}"/>
                    </c:ext>
                  </c:extLst>
                </c:dPt>
                <c:dPt>
                  <c:idx val="55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55-F00B-484F-A684-53B3FEB2CFF0}"/>
                    </c:ext>
                  </c:extLst>
                </c:dPt>
                <c:dPt>
                  <c:idx val="55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57-F00B-484F-A684-53B3FEB2CFF0}"/>
                    </c:ext>
                  </c:extLst>
                </c:dPt>
                <c:dPt>
                  <c:idx val="55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59-F00B-484F-A684-53B3FEB2CFF0}"/>
                    </c:ext>
                  </c:extLst>
                </c:dPt>
                <c:dPt>
                  <c:idx val="55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5B-F00B-484F-A684-53B3FEB2CFF0}"/>
                    </c:ext>
                  </c:extLst>
                </c:dPt>
                <c:dPt>
                  <c:idx val="55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5D-F00B-484F-A684-53B3FEB2CFF0}"/>
                    </c:ext>
                  </c:extLst>
                </c:dPt>
                <c:dPt>
                  <c:idx val="55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5F-F00B-484F-A684-53B3FEB2CFF0}"/>
                    </c:ext>
                  </c:extLst>
                </c:dPt>
                <c:dPt>
                  <c:idx val="55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61-F00B-484F-A684-53B3FEB2CFF0}"/>
                    </c:ext>
                  </c:extLst>
                </c:dPt>
                <c:dPt>
                  <c:idx val="56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63-F00B-484F-A684-53B3FEB2CFF0}"/>
                    </c:ext>
                  </c:extLst>
                </c:dPt>
                <c:dPt>
                  <c:idx val="56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65-F00B-484F-A684-53B3FEB2CFF0}"/>
                    </c:ext>
                  </c:extLst>
                </c:dPt>
                <c:dPt>
                  <c:idx val="56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67-F00B-484F-A684-53B3FEB2CFF0}"/>
                    </c:ext>
                  </c:extLst>
                </c:dPt>
                <c:dPt>
                  <c:idx val="56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69-F00B-484F-A684-53B3FEB2CFF0}"/>
                    </c:ext>
                  </c:extLst>
                </c:dPt>
                <c:dPt>
                  <c:idx val="56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6B-F00B-484F-A684-53B3FEB2CFF0}"/>
                    </c:ext>
                  </c:extLst>
                </c:dPt>
                <c:dPt>
                  <c:idx val="56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6D-F00B-484F-A684-53B3FEB2CFF0}"/>
                    </c:ext>
                  </c:extLst>
                </c:dPt>
                <c:dPt>
                  <c:idx val="56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6F-F00B-484F-A684-53B3FEB2CFF0}"/>
                    </c:ext>
                  </c:extLst>
                </c:dPt>
                <c:dPt>
                  <c:idx val="56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71-F00B-484F-A684-53B3FEB2CFF0}"/>
                    </c:ext>
                  </c:extLst>
                </c:dPt>
                <c:dPt>
                  <c:idx val="56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73-F00B-484F-A684-53B3FEB2CFF0}"/>
                    </c:ext>
                  </c:extLst>
                </c:dPt>
                <c:dPt>
                  <c:idx val="56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75-F00B-484F-A684-53B3FEB2CFF0}"/>
                    </c:ext>
                  </c:extLst>
                </c:dPt>
                <c:dPt>
                  <c:idx val="57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77-F00B-484F-A684-53B3FEB2CFF0}"/>
                    </c:ext>
                  </c:extLst>
                </c:dPt>
                <c:dPt>
                  <c:idx val="57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79-F00B-484F-A684-53B3FEB2CFF0}"/>
                    </c:ext>
                  </c:extLst>
                </c:dPt>
                <c:dPt>
                  <c:idx val="57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7B-F00B-484F-A684-53B3FEB2CFF0}"/>
                    </c:ext>
                  </c:extLst>
                </c:dPt>
                <c:dPt>
                  <c:idx val="57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7D-F00B-484F-A684-53B3FEB2CFF0}"/>
                    </c:ext>
                  </c:extLst>
                </c:dPt>
                <c:dPt>
                  <c:idx val="57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7F-F00B-484F-A684-53B3FEB2CFF0}"/>
                    </c:ext>
                  </c:extLst>
                </c:dPt>
                <c:dPt>
                  <c:idx val="57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81-F00B-484F-A684-53B3FEB2CFF0}"/>
                    </c:ext>
                  </c:extLst>
                </c:dPt>
                <c:dPt>
                  <c:idx val="57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83-F00B-484F-A684-53B3FEB2CFF0}"/>
                    </c:ext>
                  </c:extLst>
                </c:dPt>
                <c:dPt>
                  <c:idx val="57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85-F00B-484F-A684-53B3FEB2CFF0}"/>
                    </c:ext>
                  </c:extLst>
                </c:dPt>
                <c:dPt>
                  <c:idx val="57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87-F00B-484F-A684-53B3FEB2CFF0}"/>
                    </c:ext>
                  </c:extLst>
                </c:dPt>
                <c:dPt>
                  <c:idx val="57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89-F00B-484F-A684-53B3FEB2CFF0}"/>
                    </c:ext>
                  </c:extLst>
                </c:dPt>
                <c:dPt>
                  <c:idx val="58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8B-F00B-484F-A684-53B3FEB2CFF0}"/>
                    </c:ext>
                  </c:extLst>
                </c:dPt>
                <c:dPt>
                  <c:idx val="58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8D-F00B-484F-A684-53B3FEB2CFF0}"/>
                    </c:ext>
                  </c:extLst>
                </c:dPt>
                <c:dPt>
                  <c:idx val="58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8F-F00B-484F-A684-53B3FEB2CFF0}"/>
                    </c:ext>
                  </c:extLst>
                </c:dPt>
                <c:dPt>
                  <c:idx val="58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91-F00B-484F-A684-53B3FEB2CFF0}"/>
                    </c:ext>
                  </c:extLst>
                </c:dPt>
                <c:dPt>
                  <c:idx val="58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93-F00B-484F-A684-53B3FEB2CFF0}"/>
                    </c:ext>
                  </c:extLst>
                </c:dPt>
                <c:dPt>
                  <c:idx val="58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95-F00B-484F-A684-53B3FEB2CFF0}"/>
                    </c:ext>
                  </c:extLst>
                </c:dPt>
                <c:dPt>
                  <c:idx val="58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97-F00B-484F-A684-53B3FEB2CFF0}"/>
                    </c:ext>
                  </c:extLst>
                </c:dPt>
                <c:dPt>
                  <c:idx val="58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99-F00B-484F-A684-53B3FEB2CFF0}"/>
                    </c:ext>
                  </c:extLst>
                </c:dPt>
                <c:dPt>
                  <c:idx val="58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9B-F00B-484F-A684-53B3FEB2CFF0}"/>
                    </c:ext>
                  </c:extLst>
                </c:dPt>
                <c:dPt>
                  <c:idx val="58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9D-F00B-484F-A684-53B3FEB2CFF0}"/>
                    </c:ext>
                  </c:extLst>
                </c:dPt>
                <c:dPt>
                  <c:idx val="59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9F-F00B-484F-A684-53B3FEB2CFF0}"/>
                    </c:ext>
                  </c:extLst>
                </c:dPt>
                <c:dPt>
                  <c:idx val="59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A1-F00B-484F-A684-53B3FEB2CFF0}"/>
                    </c:ext>
                  </c:extLst>
                </c:dPt>
                <c:dPt>
                  <c:idx val="59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A3-F00B-484F-A684-53B3FEB2CFF0}"/>
                    </c:ext>
                  </c:extLst>
                </c:dPt>
                <c:dPt>
                  <c:idx val="59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A5-F00B-484F-A684-53B3FEB2CFF0}"/>
                    </c:ext>
                  </c:extLst>
                </c:dPt>
                <c:dPt>
                  <c:idx val="59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A7-F00B-484F-A684-53B3FEB2CFF0}"/>
                    </c:ext>
                  </c:extLst>
                </c:dPt>
                <c:dPt>
                  <c:idx val="59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A9-F00B-484F-A684-53B3FEB2CFF0}"/>
                    </c:ext>
                  </c:extLst>
                </c:dPt>
                <c:dPt>
                  <c:idx val="59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AB-F00B-484F-A684-53B3FEB2CFF0}"/>
                    </c:ext>
                  </c:extLst>
                </c:dPt>
                <c:dPt>
                  <c:idx val="59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AD-F00B-484F-A684-53B3FEB2CFF0}"/>
                    </c:ext>
                  </c:extLst>
                </c:dPt>
                <c:dPt>
                  <c:idx val="59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AF-F00B-484F-A684-53B3FEB2CFF0}"/>
                    </c:ext>
                  </c:extLst>
                </c:dPt>
                <c:dPt>
                  <c:idx val="59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B1-F00B-484F-A684-53B3FEB2CFF0}"/>
                    </c:ext>
                  </c:extLst>
                </c:dPt>
                <c:dPt>
                  <c:idx val="60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B3-F00B-484F-A684-53B3FEB2CFF0}"/>
                    </c:ext>
                  </c:extLst>
                </c:dPt>
                <c:dPt>
                  <c:idx val="60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B5-F00B-484F-A684-53B3FEB2CFF0}"/>
                    </c:ext>
                  </c:extLst>
                </c:dPt>
                <c:dPt>
                  <c:idx val="60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B7-F00B-484F-A684-53B3FEB2CFF0}"/>
                    </c:ext>
                  </c:extLst>
                </c:dPt>
                <c:dPt>
                  <c:idx val="60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B9-F00B-484F-A684-53B3FEB2CFF0}"/>
                    </c:ext>
                  </c:extLst>
                </c:dPt>
                <c:dPt>
                  <c:idx val="60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BB-F00B-484F-A684-53B3FEB2CFF0}"/>
                    </c:ext>
                  </c:extLst>
                </c:dPt>
                <c:dPt>
                  <c:idx val="60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BD-F00B-484F-A684-53B3FEB2CFF0}"/>
                    </c:ext>
                  </c:extLst>
                </c:dPt>
                <c:dPt>
                  <c:idx val="60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BF-F00B-484F-A684-53B3FEB2CFF0}"/>
                    </c:ext>
                  </c:extLst>
                </c:dPt>
                <c:dPt>
                  <c:idx val="60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C1-F00B-484F-A684-53B3FEB2CFF0}"/>
                    </c:ext>
                  </c:extLst>
                </c:dPt>
                <c:dPt>
                  <c:idx val="60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C3-F00B-484F-A684-53B3FEB2CFF0}"/>
                    </c:ext>
                  </c:extLst>
                </c:dPt>
                <c:dPt>
                  <c:idx val="60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C5-F00B-484F-A684-53B3FEB2CFF0}"/>
                    </c:ext>
                  </c:extLst>
                </c:dPt>
                <c:dPt>
                  <c:idx val="61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C7-F00B-484F-A684-53B3FEB2CFF0}"/>
                    </c:ext>
                  </c:extLst>
                </c:dPt>
                <c:dPt>
                  <c:idx val="61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C9-F00B-484F-A684-53B3FEB2CFF0}"/>
                    </c:ext>
                  </c:extLst>
                </c:dPt>
                <c:dPt>
                  <c:idx val="61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CB-F00B-484F-A684-53B3FEB2CFF0}"/>
                    </c:ext>
                  </c:extLst>
                </c:dPt>
                <c:dPt>
                  <c:idx val="61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CD-F00B-484F-A684-53B3FEB2CFF0}"/>
                    </c:ext>
                  </c:extLst>
                </c:dPt>
                <c:dPt>
                  <c:idx val="61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CF-F00B-484F-A684-53B3FEB2CFF0}"/>
                    </c:ext>
                  </c:extLst>
                </c:dPt>
                <c:dPt>
                  <c:idx val="61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D1-F00B-484F-A684-53B3FEB2CFF0}"/>
                    </c:ext>
                  </c:extLst>
                </c:dPt>
                <c:dPt>
                  <c:idx val="61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D3-F00B-484F-A684-53B3FEB2CFF0}"/>
                    </c:ext>
                  </c:extLst>
                </c:dPt>
                <c:dPt>
                  <c:idx val="61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D5-F00B-484F-A684-53B3FEB2CFF0}"/>
                    </c:ext>
                  </c:extLst>
                </c:dPt>
                <c:dPt>
                  <c:idx val="61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D7-F00B-484F-A684-53B3FEB2CFF0}"/>
                    </c:ext>
                  </c:extLst>
                </c:dPt>
                <c:dPt>
                  <c:idx val="61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D9-F00B-484F-A684-53B3FEB2CFF0}"/>
                    </c:ext>
                  </c:extLst>
                </c:dPt>
                <c:dPt>
                  <c:idx val="62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DB-F00B-484F-A684-53B3FEB2CFF0}"/>
                    </c:ext>
                  </c:extLst>
                </c:dPt>
                <c:dPt>
                  <c:idx val="62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DD-F00B-484F-A684-53B3FEB2CFF0}"/>
                    </c:ext>
                  </c:extLst>
                </c:dPt>
                <c:dPt>
                  <c:idx val="62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DF-F00B-484F-A684-53B3FEB2CFF0}"/>
                    </c:ext>
                  </c:extLst>
                </c:dPt>
                <c:dPt>
                  <c:idx val="62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E1-F00B-484F-A684-53B3FEB2CFF0}"/>
                    </c:ext>
                  </c:extLst>
                </c:dPt>
                <c:dPt>
                  <c:idx val="62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E3-F00B-484F-A684-53B3FEB2CFF0}"/>
                    </c:ext>
                  </c:extLst>
                </c:dPt>
                <c:dPt>
                  <c:idx val="62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E5-F00B-484F-A684-53B3FEB2CFF0}"/>
                    </c:ext>
                  </c:extLst>
                </c:dPt>
                <c:dPt>
                  <c:idx val="62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E7-F00B-484F-A684-53B3FEB2CFF0}"/>
                    </c:ext>
                  </c:extLst>
                </c:dPt>
                <c:dPt>
                  <c:idx val="62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E9-F00B-484F-A684-53B3FEB2CFF0}"/>
                    </c:ext>
                  </c:extLst>
                </c:dPt>
                <c:dPt>
                  <c:idx val="62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EB-F00B-484F-A684-53B3FEB2CFF0}"/>
                    </c:ext>
                  </c:extLst>
                </c:dPt>
                <c:dPt>
                  <c:idx val="62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ED-F00B-484F-A684-53B3FEB2CFF0}"/>
                    </c:ext>
                  </c:extLst>
                </c:dPt>
                <c:dPt>
                  <c:idx val="63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EF-F00B-484F-A684-53B3FEB2CFF0}"/>
                    </c:ext>
                  </c:extLst>
                </c:dPt>
                <c:dPt>
                  <c:idx val="63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F1-F00B-484F-A684-53B3FEB2CFF0}"/>
                    </c:ext>
                  </c:extLst>
                </c:dPt>
                <c:dPt>
                  <c:idx val="63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F3-F00B-484F-A684-53B3FEB2CFF0}"/>
                    </c:ext>
                  </c:extLst>
                </c:dPt>
                <c:dPt>
                  <c:idx val="63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F5-F00B-484F-A684-53B3FEB2CFF0}"/>
                    </c:ext>
                  </c:extLst>
                </c:dPt>
                <c:dPt>
                  <c:idx val="63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F7-F00B-484F-A684-53B3FEB2CFF0}"/>
                    </c:ext>
                  </c:extLst>
                </c:dPt>
                <c:dPt>
                  <c:idx val="63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F9-F00B-484F-A684-53B3FEB2CFF0}"/>
                    </c:ext>
                  </c:extLst>
                </c:dPt>
                <c:dPt>
                  <c:idx val="63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FB-F00B-484F-A684-53B3FEB2CFF0}"/>
                    </c:ext>
                  </c:extLst>
                </c:dPt>
                <c:dPt>
                  <c:idx val="63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FD-F00B-484F-A684-53B3FEB2CFF0}"/>
                    </c:ext>
                  </c:extLst>
                </c:dPt>
                <c:dPt>
                  <c:idx val="63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FF-F00B-484F-A684-53B3FEB2CFF0}"/>
                    </c:ext>
                  </c:extLst>
                </c:dPt>
                <c:dPt>
                  <c:idx val="63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01-F00B-484F-A684-53B3FEB2CFF0}"/>
                    </c:ext>
                  </c:extLst>
                </c:dPt>
                <c:dPt>
                  <c:idx val="64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03-F00B-484F-A684-53B3FEB2CFF0}"/>
                    </c:ext>
                  </c:extLst>
                </c:dPt>
                <c:dPt>
                  <c:idx val="64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05-F00B-484F-A684-53B3FEB2CFF0}"/>
                    </c:ext>
                  </c:extLst>
                </c:dPt>
                <c:dPt>
                  <c:idx val="64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07-F00B-484F-A684-53B3FEB2CFF0}"/>
                    </c:ext>
                  </c:extLst>
                </c:dPt>
                <c:dPt>
                  <c:idx val="64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09-F00B-484F-A684-53B3FEB2CFF0}"/>
                    </c:ext>
                  </c:extLst>
                </c:dPt>
                <c:dPt>
                  <c:idx val="64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0B-F00B-484F-A684-53B3FEB2CFF0}"/>
                    </c:ext>
                  </c:extLst>
                </c:dPt>
                <c:dPt>
                  <c:idx val="64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0D-F00B-484F-A684-53B3FEB2CFF0}"/>
                    </c:ext>
                  </c:extLst>
                </c:dPt>
                <c:dPt>
                  <c:idx val="64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0F-F00B-484F-A684-53B3FEB2CFF0}"/>
                    </c:ext>
                  </c:extLst>
                </c:dPt>
                <c:dPt>
                  <c:idx val="64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11-F00B-484F-A684-53B3FEB2CFF0}"/>
                    </c:ext>
                  </c:extLst>
                </c:dPt>
                <c:dPt>
                  <c:idx val="64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13-F00B-484F-A684-53B3FEB2CFF0}"/>
                    </c:ext>
                  </c:extLst>
                </c:dPt>
                <c:dPt>
                  <c:idx val="64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15-F00B-484F-A684-53B3FEB2CFF0}"/>
                    </c:ext>
                  </c:extLst>
                </c:dPt>
                <c:dPt>
                  <c:idx val="65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17-F00B-484F-A684-53B3FEB2CFF0}"/>
                    </c:ext>
                  </c:extLst>
                </c:dPt>
                <c:dPt>
                  <c:idx val="65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19-F00B-484F-A684-53B3FEB2CFF0}"/>
                    </c:ext>
                  </c:extLst>
                </c:dPt>
                <c:dPt>
                  <c:idx val="65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1B-F00B-484F-A684-53B3FEB2CFF0}"/>
                    </c:ext>
                  </c:extLst>
                </c:dPt>
                <c:dPt>
                  <c:idx val="65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1D-F00B-484F-A684-53B3FEB2CFF0}"/>
                    </c:ext>
                  </c:extLst>
                </c:dPt>
                <c:dPt>
                  <c:idx val="65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1F-F00B-484F-A684-53B3FEB2CFF0}"/>
                    </c:ext>
                  </c:extLst>
                </c:dPt>
                <c:dPt>
                  <c:idx val="65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21-F00B-484F-A684-53B3FEB2CFF0}"/>
                    </c:ext>
                  </c:extLst>
                </c:dPt>
                <c:dPt>
                  <c:idx val="65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23-F00B-484F-A684-53B3FEB2CFF0}"/>
                    </c:ext>
                  </c:extLst>
                </c:dPt>
                <c:dPt>
                  <c:idx val="65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25-F00B-484F-A684-53B3FEB2CFF0}"/>
                    </c:ext>
                  </c:extLst>
                </c:dPt>
                <c:dPt>
                  <c:idx val="65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27-F00B-484F-A684-53B3FEB2CFF0}"/>
                    </c:ext>
                  </c:extLst>
                </c:dPt>
                <c:dPt>
                  <c:idx val="65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29-F00B-484F-A684-53B3FEB2CFF0}"/>
                    </c:ext>
                  </c:extLst>
                </c:dPt>
                <c:dPt>
                  <c:idx val="66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2B-F00B-484F-A684-53B3FEB2CFF0}"/>
                    </c:ext>
                  </c:extLst>
                </c:dPt>
                <c:dPt>
                  <c:idx val="66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2D-F00B-484F-A684-53B3FEB2CFF0}"/>
                    </c:ext>
                  </c:extLst>
                </c:dPt>
                <c:dPt>
                  <c:idx val="66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2F-F00B-484F-A684-53B3FEB2CFF0}"/>
                    </c:ext>
                  </c:extLst>
                </c:dPt>
                <c:dPt>
                  <c:idx val="66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31-F00B-484F-A684-53B3FEB2CFF0}"/>
                    </c:ext>
                  </c:extLst>
                </c:dPt>
                <c:dPt>
                  <c:idx val="66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33-F00B-484F-A684-53B3FEB2CFF0}"/>
                    </c:ext>
                  </c:extLst>
                </c:dPt>
                <c:dPt>
                  <c:idx val="66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35-F00B-484F-A684-53B3FEB2CFF0}"/>
                    </c:ext>
                  </c:extLst>
                </c:dPt>
                <c:dPt>
                  <c:idx val="66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37-F00B-484F-A684-53B3FEB2CFF0}"/>
                    </c:ext>
                  </c:extLst>
                </c:dPt>
                <c:dPt>
                  <c:idx val="66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39-F00B-484F-A684-53B3FEB2CFF0}"/>
                    </c:ext>
                  </c:extLst>
                </c:dPt>
                <c:dPt>
                  <c:idx val="66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3B-F00B-484F-A684-53B3FEB2CFF0}"/>
                    </c:ext>
                  </c:extLst>
                </c:dPt>
                <c:dPt>
                  <c:idx val="66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3D-F00B-484F-A684-53B3FEB2CFF0}"/>
                    </c:ext>
                  </c:extLst>
                </c:dPt>
                <c:dPt>
                  <c:idx val="67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3F-F00B-484F-A684-53B3FEB2CFF0}"/>
                    </c:ext>
                  </c:extLst>
                </c:dPt>
                <c:dPt>
                  <c:idx val="67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41-F00B-484F-A684-53B3FEB2CFF0}"/>
                    </c:ext>
                  </c:extLst>
                </c:dPt>
                <c:dPt>
                  <c:idx val="67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43-F00B-484F-A684-53B3FEB2CFF0}"/>
                    </c:ext>
                  </c:extLst>
                </c:dPt>
                <c:dPt>
                  <c:idx val="67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45-F00B-484F-A684-53B3FEB2CFF0}"/>
                    </c:ext>
                  </c:extLst>
                </c:dPt>
                <c:dPt>
                  <c:idx val="67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47-F00B-484F-A684-53B3FEB2CFF0}"/>
                    </c:ext>
                  </c:extLst>
                </c:dPt>
                <c:dPt>
                  <c:idx val="67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49-F00B-484F-A684-53B3FEB2CFF0}"/>
                    </c:ext>
                  </c:extLst>
                </c:dPt>
                <c:dPt>
                  <c:idx val="67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4B-F00B-484F-A684-53B3FEB2CFF0}"/>
                    </c:ext>
                  </c:extLst>
                </c:dPt>
                <c:dPt>
                  <c:idx val="67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4D-F00B-484F-A684-53B3FEB2CFF0}"/>
                    </c:ext>
                  </c:extLst>
                </c:dPt>
                <c:dPt>
                  <c:idx val="67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4F-F00B-484F-A684-53B3FEB2CFF0}"/>
                    </c:ext>
                  </c:extLst>
                </c:dPt>
                <c:dPt>
                  <c:idx val="67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51-F00B-484F-A684-53B3FEB2CFF0}"/>
                    </c:ext>
                  </c:extLst>
                </c:dPt>
                <c:dPt>
                  <c:idx val="68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53-F00B-484F-A684-53B3FEB2CFF0}"/>
                    </c:ext>
                  </c:extLst>
                </c:dPt>
                <c:dPt>
                  <c:idx val="68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55-F00B-484F-A684-53B3FEB2CFF0}"/>
                    </c:ext>
                  </c:extLst>
                </c:dPt>
                <c:dPt>
                  <c:idx val="68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57-F00B-484F-A684-53B3FEB2CFF0}"/>
                    </c:ext>
                  </c:extLst>
                </c:dPt>
                <c:dPt>
                  <c:idx val="68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59-F00B-484F-A684-53B3FEB2CFF0}"/>
                    </c:ext>
                  </c:extLst>
                </c:dPt>
                <c:dPt>
                  <c:idx val="68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5B-F00B-484F-A684-53B3FEB2CFF0}"/>
                    </c:ext>
                  </c:extLst>
                </c:dPt>
                <c:dPt>
                  <c:idx val="68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5D-F00B-484F-A684-53B3FEB2CFF0}"/>
                    </c:ext>
                  </c:extLst>
                </c:dPt>
                <c:dPt>
                  <c:idx val="68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5F-F00B-484F-A684-53B3FEB2CFF0}"/>
                    </c:ext>
                  </c:extLst>
                </c:dPt>
                <c:dPt>
                  <c:idx val="68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61-F00B-484F-A684-53B3FEB2CFF0}"/>
                    </c:ext>
                  </c:extLst>
                </c:dPt>
                <c:dPt>
                  <c:idx val="68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63-F00B-484F-A684-53B3FEB2CFF0}"/>
                    </c:ext>
                  </c:extLst>
                </c:dPt>
                <c:dPt>
                  <c:idx val="68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65-F00B-484F-A684-53B3FEB2CFF0}"/>
                    </c:ext>
                  </c:extLst>
                </c:dPt>
                <c:dPt>
                  <c:idx val="69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67-F00B-484F-A684-53B3FEB2CFF0}"/>
                    </c:ext>
                  </c:extLst>
                </c:dPt>
                <c:dPt>
                  <c:idx val="69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69-F00B-484F-A684-53B3FEB2CFF0}"/>
                    </c:ext>
                  </c:extLst>
                </c:dPt>
                <c:dPt>
                  <c:idx val="69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6B-F00B-484F-A684-53B3FEB2CFF0}"/>
                    </c:ext>
                  </c:extLst>
                </c:dPt>
                <c:dPt>
                  <c:idx val="69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6D-F00B-484F-A684-53B3FEB2CFF0}"/>
                    </c:ext>
                  </c:extLst>
                </c:dPt>
                <c:dPt>
                  <c:idx val="69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6F-F00B-484F-A684-53B3FEB2CFF0}"/>
                    </c:ext>
                  </c:extLst>
                </c:dPt>
                <c:dPt>
                  <c:idx val="69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71-F00B-484F-A684-53B3FEB2CFF0}"/>
                    </c:ext>
                  </c:extLst>
                </c:dPt>
                <c:dPt>
                  <c:idx val="69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73-F00B-484F-A684-53B3FEB2CFF0}"/>
                    </c:ext>
                  </c:extLst>
                </c:dPt>
                <c:dPt>
                  <c:idx val="69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75-F00B-484F-A684-53B3FEB2CFF0}"/>
                    </c:ext>
                  </c:extLst>
                </c:dPt>
                <c:dPt>
                  <c:idx val="69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77-F00B-484F-A684-53B3FEB2CFF0}"/>
                    </c:ext>
                  </c:extLst>
                </c:dPt>
                <c:dPt>
                  <c:idx val="69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79-F00B-484F-A684-53B3FEB2CFF0}"/>
                    </c:ext>
                  </c:extLst>
                </c:dPt>
                <c:dPt>
                  <c:idx val="70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7B-F00B-484F-A684-53B3FEB2CFF0}"/>
                    </c:ext>
                  </c:extLst>
                </c:dPt>
                <c:dPt>
                  <c:idx val="70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7D-F00B-484F-A684-53B3FEB2CFF0}"/>
                    </c:ext>
                  </c:extLst>
                </c:dPt>
                <c:dPt>
                  <c:idx val="70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7F-F00B-484F-A684-53B3FEB2CFF0}"/>
                    </c:ext>
                  </c:extLst>
                </c:dPt>
                <c:dPt>
                  <c:idx val="70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81-F00B-484F-A684-53B3FEB2CFF0}"/>
                    </c:ext>
                  </c:extLst>
                </c:dPt>
                <c:dPt>
                  <c:idx val="70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83-F00B-484F-A684-53B3FEB2CFF0}"/>
                    </c:ext>
                  </c:extLst>
                </c:dPt>
                <c:dPt>
                  <c:idx val="70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85-F00B-484F-A684-53B3FEB2CFF0}"/>
                    </c:ext>
                  </c:extLst>
                </c:dPt>
                <c:dPt>
                  <c:idx val="70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87-F00B-484F-A684-53B3FEB2CFF0}"/>
                    </c:ext>
                  </c:extLst>
                </c:dPt>
                <c:dPt>
                  <c:idx val="70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89-F00B-484F-A684-53B3FEB2CFF0}"/>
                    </c:ext>
                  </c:extLst>
                </c:dPt>
                <c:dPt>
                  <c:idx val="70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8B-F00B-484F-A684-53B3FEB2CFF0}"/>
                    </c:ext>
                  </c:extLst>
                </c:dPt>
                <c:dPt>
                  <c:idx val="70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8D-F00B-484F-A684-53B3FEB2CFF0}"/>
                    </c:ext>
                  </c:extLst>
                </c:dPt>
                <c:dPt>
                  <c:idx val="71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8F-F00B-484F-A684-53B3FEB2CFF0}"/>
                    </c:ext>
                  </c:extLst>
                </c:dPt>
                <c:dPt>
                  <c:idx val="71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91-F00B-484F-A684-53B3FEB2CFF0}"/>
                    </c:ext>
                  </c:extLst>
                </c:dPt>
                <c:dPt>
                  <c:idx val="71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93-F00B-484F-A684-53B3FEB2CFF0}"/>
                    </c:ext>
                  </c:extLst>
                </c:dPt>
                <c:dPt>
                  <c:idx val="71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95-F00B-484F-A684-53B3FEB2CFF0}"/>
                    </c:ext>
                  </c:extLst>
                </c:dPt>
                <c:dPt>
                  <c:idx val="71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97-F00B-484F-A684-53B3FEB2CFF0}"/>
                    </c:ext>
                  </c:extLst>
                </c:dPt>
                <c:dPt>
                  <c:idx val="71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99-F00B-484F-A684-53B3FEB2CFF0}"/>
                    </c:ext>
                  </c:extLst>
                </c:dPt>
                <c:dPt>
                  <c:idx val="71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9B-F00B-484F-A684-53B3FEB2CFF0}"/>
                    </c:ext>
                  </c:extLst>
                </c:dPt>
                <c:dPt>
                  <c:idx val="71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9D-F00B-484F-A684-53B3FEB2CFF0}"/>
                    </c:ext>
                  </c:extLst>
                </c:dPt>
                <c:dPt>
                  <c:idx val="71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9F-F00B-484F-A684-53B3FEB2CFF0}"/>
                    </c:ext>
                  </c:extLst>
                </c:dPt>
                <c:dPt>
                  <c:idx val="71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A1-F00B-484F-A684-53B3FEB2CFF0}"/>
                    </c:ext>
                  </c:extLst>
                </c:dPt>
                <c:dPt>
                  <c:idx val="72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A3-F00B-484F-A684-53B3FEB2CFF0}"/>
                    </c:ext>
                  </c:extLst>
                </c:dPt>
                <c:dPt>
                  <c:idx val="72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A5-F00B-484F-A684-53B3FEB2CFF0}"/>
                    </c:ext>
                  </c:extLst>
                </c:dPt>
                <c:dPt>
                  <c:idx val="72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A7-F00B-484F-A684-53B3FEB2CFF0}"/>
                    </c:ext>
                  </c:extLst>
                </c:dPt>
                <c:dPt>
                  <c:idx val="72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A9-F00B-484F-A684-53B3FEB2CFF0}"/>
                    </c:ext>
                  </c:extLst>
                </c:dPt>
                <c:dPt>
                  <c:idx val="72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AB-F00B-484F-A684-53B3FEB2CFF0}"/>
                    </c:ext>
                  </c:extLst>
                </c:dPt>
                <c:dPt>
                  <c:idx val="72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AD-F00B-484F-A684-53B3FEB2CFF0}"/>
                    </c:ext>
                  </c:extLst>
                </c:dPt>
                <c:dPt>
                  <c:idx val="72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AF-F00B-484F-A684-53B3FEB2CFF0}"/>
                    </c:ext>
                  </c:extLst>
                </c:dPt>
                <c:dPt>
                  <c:idx val="72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B1-F00B-484F-A684-53B3FEB2CFF0}"/>
                    </c:ext>
                  </c:extLst>
                </c:dPt>
                <c:dPt>
                  <c:idx val="72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B3-F00B-484F-A684-53B3FEB2CFF0}"/>
                    </c:ext>
                  </c:extLst>
                </c:dPt>
                <c:dPt>
                  <c:idx val="72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B5-F00B-484F-A684-53B3FEB2CFF0}"/>
                    </c:ext>
                  </c:extLst>
                </c:dPt>
                <c:dPt>
                  <c:idx val="73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B7-F00B-484F-A684-53B3FEB2CFF0}"/>
                    </c:ext>
                  </c:extLst>
                </c:dPt>
                <c:dPt>
                  <c:idx val="73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B9-F00B-484F-A684-53B3FEB2CFF0}"/>
                    </c:ext>
                  </c:extLst>
                </c:dPt>
                <c:dPt>
                  <c:idx val="73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BB-F00B-484F-A684-53B3FEB2CFF0}"/>
                    </c:ext>
                  </c:extLst>
                </c:dPt>
                <c:dPt>
                  <c:idx val="73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BD-F00B-484F-A684-53B3FEB2CFF0}"/>
                    </c:ext>
                  </c:extLst>
                </c:dPt>
                <c:dPt>
                  <c:idx val="73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BF-F00B-484F-A684-53B3FEB2CFF0}"/>
                    </c:ext>
                  </c:extLst>
                </c:dPt>
                <c:dPt>
                  <c:idx val="73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C1-F00B-484F-A684-53B3FEB2CFF0}"/>
                    </c:ext>
                  </c:extLst>
                </c:dPt>
                <c:dPt>
                  <c:idx val="73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C3-F00B-484F-A684-53B3FEB2CFF0}"/>
                    </c:ext>
                  </c:extLst>
                </c:dPt>
                <c:dPt>
                  <c:idx val="73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C5-F00B-484F-A684-53B3FEB2CFF0}"/>
                    </c:ext>
                  </c:extLst>
                </c:dPt>
                <c:dPt>
                  <c:idx val="73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C7-F00B-484F-A684-53B3FEB2CFF0}"/>
                    </c:ext>
                  </c:extLst>
                </c:dPt>
                <c:dPt>
                  <c:idx val="73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C9-F00B-484F-A684-53B3FEB2CFF0}"/>
                    </c:ext>
                  </c:extLst>
                </c:dPt>
                <c:dPt>
                  <c:idx val="74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CB-F00B-484F-A684-53B3FEB2CFF0}"/>
                    </c:ext>
                  </c:extLst>
                </c:dPt>
                <c:dPt>
                  <c:idx val="74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CD-F00B-484F-A684-53B3FEB2CFF0}"/>
                    </c:ext>
                  </c:extLst>
                </c:dPt>
                <c:dPt>
                  <c:idx val="74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CF-F00B-484F-A684-53B3FEB2CFF0}"/>
                    </c:ext>
                  </c:extLst>
                </c:dPt>
                <c:dPt>
                  <c:idx val="74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D1-F00B-484F-A684-53B3FEB2CFF0}"/>
                    </c:ext>
                  </c:extLst>
                </c:dPt>
                <c:dPt>
                  <c:idx val="74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D3-F00B-484F-A684-53B3FEB2CFF0}"/>
                    </c:ext>
                  </c:extLst>
                </c:dPt>
                <c:dPt>
                  <c:idx val="74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D5-F00B-484F-A684-53B3FEB2CFF0}"/>
                    </c:ext>
                  </c:extLst>
                </c:dPt>
                <c:dPt>
                  <c:idx val="74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D7-F00B-484F-A684-53B3FEB2CFF0}"/>
                    </c:ext>
                  </c:extLst>
                </c:dPt>
                <c:dPt>
                  <c:idx val="74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D9-F00B-484F-A684-53B3FEB2CFF0}"/>
                    </c:ext>
                  </c:extLst>
                </c:dPt>
                <c:dPt>
                  <c:idx val="74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DB-F00B-484F-A684-53B3FEB2CFF0}"/>
                    </c:ext>
                  </c:extLst>
                </c:dPt>
                <c:dPt>
                  <c:idx val="74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DD-F00B-484F-A684-53B3FEB2CFF0}"/>
                    </c:ext>
                  </c:extLst>
                </c:dPt>
                <c:dPt>
                  <c:idx val="75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DF-F00B-484F-A684-53B3FEB2CFF0}"/>
                    </c:ext>
                  </c:extLst>
                </c:dPt>
                <c:dPt>
                  <c:idx val="75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E1-F00B-484F-A684-53B3FEB2CFF0}"/>
                    </c:ext>
                  </c:extLst>
                </c:dPt>
                <c:dPt>
                  <c:idx val="75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E3-F00B-484F-A684-53B3FEB2CFF0}"/>
                    </c:ext>
                  </c:extLst>
                </c:dPt>
                <c:dPt>
                  <c:idx val="75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E5-F00B-484F-A684-53B3FEB2CFF0}"/>
                    </c:ext>
                  </c:extLst>
                </c:dPt>
                <c:dPt>
                  <c:idx val="75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E7-F00B-484F-A684-53B3FEB2CFF0}"/>
                    </c:ext>
                  </c:extLst>
                </c:dPt>
                <c:dPt>
                  <c:idx val="75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E9-F00B-484F-A684-53B3FEB2CFF0}"/>
                    </c:ext>
                  </c:extLst>
                </c:dPt>
                <c:dPt>
                  <c:idx val="75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EB-F00B-484F-A684-53B3FEB2CFF0}"/>
                    </c:ext>
                  </c:extLst>
                </c:dPt>
                <c:dPt>
                  <c:idx val="75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ED-F00B-484F-A684-53B3FEB2CFF0}"/>
                    </c:ext>
                  </c:extLst>
                </c:dPt>
                <c:dPt>
                  <c:idx val="75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EF-F00B-484F-A684-53B3FEB2CFF0}"/>
                    </c:ext>
                  </c:extLst>
                </c:dPt>
                <c:dPt>
                  <c:idx val="75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F1-F00B-484F-A684-53B3FEB2CFF0}"/>
                    </c:ext>
                  </c:extLst>
                </c:dPt>
                <c:dPt>
                  <c:idx val="76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F3-F00B-484F-A684-53B3FEB2CFF0}"/>
                    </c:ext>
                  </c:extLst>
                </c:dPt>
                <c:dPt>
                  <c:idx val="76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F5-F00B-484F-A684-53B3FEB2CFF0}"/>
                    </c:ext>
                  </c:extLst>
                </c:dPt>
                <c:dPt>
                  <c:idx val="76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F7-F00B-484F-A684-53B3FEB2CFF0}"/>
                    </c:ext>
                  </c:extLst>
                </c:dPt>
                <c:dPt>
                  <c:idx val="76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F9-F00B-484F-A684-53B3FEB2CFF0}"/>
                    </c:ext>
                  </c:extLst>
                </c:dPt>
                <c:dPt>
                  <c:idx val="76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FB-F00B-484F-A684-53B3FEB2CFF0}"/>
                    </c:ext>
                  </c:extLst>
                </c:dPt>
                <c:dPt>
                  <c:idx val="76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FD-F00B-484F-A684-53B3FEB2CFF0}"/>
                    </c:ext>
                  </c:extLst>
                </c:dPt>
                <c:dPt>
                  <c:idx val="76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FF-F00B-484F-A684-53B3FEB2CFF0}"/>
                    </c:ext>
                  </c:extLst>
                </c:dPt>
                <c:dPt>
                  <c:idx val="76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01-F00B-484F-A684-53B3FEB2CFF0}"/>
                    </c:ext>
                  </c:extLst>
                </c:dPt>
                <c:dPt>
                  <c:idx val="76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03-F00B-484F-A684-53B3FEB2CFF0}"/>
                    </c:ext>
                  </c:extLst>
                </c:dPt>
                <c:dPt>
                  <c:idx val="76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05-F00B-484F-A684-53B3FEB2CFF0}"/>
                    </c:ext>
                  </c:extLst>
                </c:dPt>
                <c:dPt>
                  <c:idx val="77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07-F00B-484F-A684-53B3FEB2CFF0}"/>
                    </c:ext>
                  </c:extLst>
                </c:dPt>
                <c:dPt>
                  <c:idx val="77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09-F00B-484F-A684-53B3FEB2CFF0}"/>
                    </c:ext>
                  </c:extLst>
                </c:dPt>
                <c:dPt>
                  <c:idx val="77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0B-F00B-484F-A684-53B3FEB2CFF0}"/>
                    </c:ext>
                  </c:extLst>
                </c:dPt>
                <c:dPt>
                  <c:idx val="77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0D-F00B-484F-A684-53B3FEB2CFF0}"/>
                    </c:ext>
                  </c:extLst>
                </c:dPt>
                <c:dPt>
                  <c:idx val="77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0F-F00B-484F-A684-53B3FEB2CFF0}"/>
                    </c:ext>
                  </c:extLst>
                </c:dPt>
                <c:dPt>
                  <c:idx val="77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11-F00B-484F-A684-53B3FEB2CFF0}"/>
                    </c:ext>
                  </c:extLst>
                </c:dPt>
                <c:dPt>
                  <c:idx val="77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13-F00B-484F-A684-53B3FEB2CFF0}"/>
                    </c:ext>
                  </c:extLst>
                </c:dPt>
                <c:dPt>
                  <c:idx val="77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15-F00B-484F-A684-53B3FEB2CFF0}"/>
                    </c:ext>
                  </c:extLst>
                </c:dPt>
                <c:dPt>
                  <c:idx val="77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17-F00B-484F-A684-53B3FEB2CFF0}"/>
                    </c:ext>
                  </c:extLst>
                </c:dPt>
                <c:dPt>
                  <c:idx val="77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19-F00B-484F-A684-53B3FEB2CFF0}"/>
                    </c:ext>
                  </c:extLst>
                </c:dPt>
                <c:dPt>
                  <c:idx val="78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1B-F00B-484F-A684-53B3FEB2CFF0}"/>
                    </c:ext>
                  </c:extLst>
                </c:dPt>
                <c:dPt>
                  <c:idx val="78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1D-F00B-484F-A684-53B3FEB2CFF0}"/>
                    </c:ext>
                  </c:extLst>
                </c:dPt>
                <c:dPt>
                  <c:idx val="78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1F-F00B-484F-A684-53B3FEB2CFF0}"/>
                    </c:ext>
                  </c:extLst>
                </c:dPt>
                <c:dPt>
                  <c:idx val="78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21-F00B-484F-A684-53B3FEB2CFF0}"/>
                    </c:ext>
                  </c:extLst>
                </c:dPt>
                <c:dPt>
                  <c:idx val="78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23-F00B-484F-A684-53B3FEB2CFF0}"/>
                    </c:ext>
                  </c:extLst>
                </c:dPt>
                <c:dPt>
                  <c:idx val="78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25-F00B-484F-A684-53B3FEB2CFF0}"/>
                    </c:ext>
                  </c:extLst>
                </c:dPt>
                <c:dPt>
                  <c:idx val="78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27-F00B-484F-A684-53B3FEB2CFF0}"/>
                    </c:ext>
                  </c:extLst>
                </c:dPt>
                <c:dPt>
                  <c:idx val="78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29-F00B-484F-A684-53B3FEB2CFF0}"/>
                    </c:ext>
                  </c:extLst>
                </c:dPt>
                <c:dPt>
                  <c:idx val="78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2B-F00B-484F-A684-53B3FEB2CFF0}"/>
                    </c:ext>
                  </c:extLst>
                </c:dPt>
                <c:dPt>
                  <c:idx val="78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2D-F00B-484F-A684-53B3FEB2CFF0}"/>
                    </c:ext>
                  </c:extLst>
                </c:dPt>
                <c:dPt>
                  <c:idx val="79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2F-F00B-484F-A684-53B3FEB2CFF0}"/>
                    </c:ext>
                  </c:extLst>
                </c:dPt>
                <c:dPt>
                  <c:idx val="79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31-F00B-484F-A684-53B3FEB2CFF0}"/>
                    </c:ext>
                  </c:extLst>
                </c:dPt>
                <c:dPt>
                  <c:idx val="79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33-F00B-484F-A684-53B3FEB2CFF0}"/>
                    </c:ext>
                  </c:extLst>
                </c:dPt>
                <c:dPt>
                  <c:idx val="79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35-F00B-484F-A684-53B3FEB2CFF0}"/>
                    </c:ext>
                  </c:extLst>
                </c:dPt>
                <c:dPt>
                  <c:idx val="79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37-F00B-484F-A684-53B3FEB2CFF0}"/>
                    </c:ext>
                  </c:extLst>
                </c:dPt>
                <c:dPt>
                  <c:idx val="79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39-F00B-484F-A684-53B3FEB2CFF0}"/>
                    </c:ext>
                  </c:extLst>
                </c:dPt>
                <c:dPt>
                  <c:idx val="79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3B-F00B-484F-A684-53B3FEB2CFF0}"/>
                    </c:ext>
                  </c:extLst>
                </c:dPt>
                <c:dPt>
                  <c:idx val="79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3D-F00B-484F-A684-53B3FEB2CFF0}"/>
                    </c:ext>
                  </c:extLst>
                </c:dPt>
                <c:dPt>
                  <c:idx val="79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3F-F00B-484F-A684-53B3FEB2CFF0}"/>
                    </c:ext>
                  </c:extLst>
                </c:dPt>
                <c:dPt>
                  <c:idx val="79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41-F00B-484F-A684-53B3FEB2CFF0}"/>
                    </c:ext>
                  </c:extLst>
                </c:dPt>
                <c:dPt>
                  <c:idx val="80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43-F00B-484F-A684-53B3FEB2CFF0}"/>
                    </c:ext>
                  </c:extLst>
                </c:dPt>
                <c:dPt>
                  <c:idx val="80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45-F00B-484F-A684-53B3FEB2CFF0}"/>
                    </c:ext>
                  </c:extLst>
                </c:dPt>
                <c:dPt>
                  <c:idx val="80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47-F00B-484F-A684-53B3FEB2CFF0}"/>
                    </c:ext>
                  </c:extLst>
                </c:dPt>
                <c:dPt>
                  <c:idx val="80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49-F00B-484F-A684-53B3FEB2CFF0}"/>
                    </c:ext>
                  </c:extLst>
                </c:dPt>
                <c:dPt>
                  <c:idx val="80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4B-F00B-484F-A684-53B3FEB2CFF0}"/>
                    </c:ext>
                  </c:extLst>
                </c:dPt>
                <c:dPt>
                  <c:idx val="80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4D-F00B-484F-A684-53B3FEB2CFF0}"/>
                    </c:ext>
                  </c:extLst>
                </c:dPt>
                <c:dPt>
                  <c:idx val="80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4F-F00B-484F-A684-53B3FEB2CFF0}"/>
                    </c:ext>
                  </c:extLst>
                </c:dPt>
                <c:dPt>
                  <c:idx val="80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51-F00B-484F-A684-53B3FEB2CFF0}"/>
                    </c:ext>
                  </c:extLst>
                </c:dPt>
                <c:dPt>
                  <c:idx val="80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53-F00B-484F-A684-53B3FEB2CFF0}"/>
                    </c:ext>
                  </c:extLst>
                </c:dPt>
                <c:dPt>
                  <c:idx val="80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55-F00B-484F-A684-53B3FEB2CFF0}"/>
                    </c:ext>
                  </c:extLst>
                </c:dPt>
                <c:dPt>
                  <c:idx val="81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57-F00B-484F-A684-53B3FEB2CFF0}"/>
                    </c:ext>
                  </c:extLst>
                </c:dPt>
                <c:dPt>
                  <c:idx val="81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59-F00B-484F-A684-53B3FEB2CFF0}"/>
                    </c:ext>
                  </c:extLst>
                </c:dPt>
                <c:dPt>
                  <c:idx val="81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5B-F00B-484F-A684-53B3FEB2CFF0}"/>
                    </c:ext>
                  </c:extLst>
                </c:dPt>
                <c:dPt>
                  <c:idx val="81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5D-F00B-484F-A684-53B3FEB2CFF0}"/>
                    </c:ext>
                  </c:extLst>
                </c:dPt>
                <c:dPt>
                  <c:idx val="81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5F-F00B-484F-A684-53B3FEB2CFF0}"/>
                    </c:ext>
                  </c:extLst>
                </c:dPt>
                <c:dPt>
                  <c:idx val="81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61-F00B-484F-A684-53B3FEB2CFF0}"/>
                    </c:ext>
                  </c:extLst>
                </c:dPt>
                <c:dPt>
                  <c:idx val="81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63-F00B-484F-A684-53B3FEB2CFF0}"/>
                    </c:ext>
                  </c:extLst>
                </c:dPt>
                <c:dPt>
                  <c:idx val="81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65-F00B-484F-A684-53B3FEB2CFF0}"/>
                    </c:ext>
                  </c:extLst>
                </c:dPt>
                <c:dPt>
                  <c:idx val="81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67-F00B-484F-A684-53B3FEB2CFF0}"/>
                    </c:ext>
                  </c:extLst>
                </c:dPt>
                <c:dPt>
                  <c:idx val="81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69-F00B-484F-A684-53B3FEB2CFF0}"/>
                    </c:ext>
                  </c:extLst>
                </c:dPt>
                <c:dPt>
                  <c:idx val="82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6B-F00B-484F-A684-53B3FEB2CFF0}"/>
                    </c:ext>
                  </c:extLst>
                </c:dPt>
                <c:dPt>
                  <c:idx val="82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6D-F00B-484F-A684-53B3FEB2CFF0}"/>
                    </c:ext>
                  </c:extLst>
                </c:dPt>
                <c:dPt>
                  <c:idx val="82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6F-F00B-484F-A684-53B3FEB2CFF0}"/>
                    </c:ext>
                  </c:extLst>
                </c:dPt>
                <c:dPt>
                  <c:idx val="82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71-F00B-484F-A684-53B3FEB2CFF0}"/>
                    </c:ext>
                  </c:extLst>
                </c:dPt>
                <c:dPt>
                  <c:idx val="82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73-F00B-484F-A684-53B3FEB2CFF0}"/>
                    </c:ext>
                  </c:extLst>
                </c:dPt>
                <c:dPt>
                  <c:idx val="82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75-F00B-484F-A684-53B3FEB2CFF0}"/>
                    </c:ext>
                  </c:extLst>
                </c:dPt>
                <c:dPt>
                  <c:idx val="82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77-F00B-484F-A684-53B3FEB2CFF0}"/>
                    </c:ext>
                  </c:extLst>
                </c:dPt>
                <c:dPt>
                  <c:idx val="82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79-F00B-484F-A684-53B3FEB2CFF0}"/>
                    </c:ext>
                  </c:extLst>
                </c:dPt>
                <c:dPt>
                  <c:idx val="82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7B-F00B-484F-A684-53B3FEB2CFF0}"/>
                    </c:ext>
                  </c:extLst>
                </c:dPt>
                <c:dPt>
                  <c:idx val="82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7D-F00B-484F-A684-53B3FEB2CFF0}"/>
                    </c:ext>
                  </c:extLst>
                </c:dPt>
                <c:dPt>
                  <c:idx val="83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7F-F00B-484F-A684-53B3FEB2CFF0}"/>
                    </c:ext>
                  </c:extLst>
                </c:dPt>
                <c:dPt>
                  <c:idx val="83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81-F00B-484F-A684-53B3FEB2CFF0}"/>
                    </c:ext>
                  </c:extLst>
                </c:dPt>
                <c:dPt>
                  <c:idx val="83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83-F00B-484F-A684-53B3FEB2CFF0}"/>
                    </c:ext>
                  </c:extLst>
                </c:dPt>
                <c:dPt>
                  <c:idx val="83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85-F00B-484F-A684-53B3FEB2CFF0}"/>
                    </c:ext>
                  </c:extLst>
                </c:dPt>
                <c:dPt>
                  <c:idx val="83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87-F00B-484F-A684-53B3FEB2CFF0}"/>
                    </c:ext>
                  </c:extLst>
                </c:dPt>
                <c:dPt>
                  <c:idx val="83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89-F00B-484F-A684-53B3FEB2CFF0}"/>
                    </c:ext>
                  </c:extLst>
                </c:dPt>
                <c:dPt>
                  <c:idx val="83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8B-F00B-484F-A684-53B3FEB2CFF0}"/>
                    </c:ext>
                  </c:extLst>
                </c:dPt>
                <c:dPt>
                  <c:idx val="83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8D-F00B-484F-A684-53B3FEB2CFF0}"/>
                    </c:ext>
                  </c:extLst>
                </c:dPt>
                <c:dPt>
                  <c:idx val="83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8F-F00B-484F-A684-53B3FEB2CFF0}"/>
                    </c:ext>
                  </c:extLst>
                </c:dPt>
                <c:dPt>
                  <c:idx val="83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91-F00B-484F-A684-53B3FEB2CFF0}"/>
                    </c:ext>
                  </c:extLst>
                </c:dPt>
                <c:dPt>
                  <c:idx val="84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93-F00B-484F-A684-53B3FEB2CFF0}"/>
                    </c:ext>
                  </c:extLst>
                </c:dPt>
                <c:dPt>
                  <c:idx val="84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95-F00B-484F-A684-53B3FEB2CFF0}"/>
                    </c:ext>
                  </c:extLst>
                </c:dPt>
                <c:dPt>
                  <c:idx val="84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97-F00B-484F-A684-53B3FEB2CFF0}"/>
                    </c:ext>
                  </c:extLst>
                </c:dPt>
                <c:dPt>
                  <c:idx val="84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99-F00B-484F-A684-53B3FEB2CFF0}"/>
                    </c:ext>
                  </c:extLst>
                </c:dPt>
                <c:dPt>
                  <c:idx val="84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9B-F00B-484F-A684-53B3FEB2CFF0}"/>
                    </c:ext>
                  </c:extLst>
                </c:dPt>
                <c:dPt>
                  <c:idx val="84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9D-F00B-484F-A684-53B3FEB2CFF0}"/>
                    </c:ext>
                  </c:extLst>
                </c:dPt>
                <c:dPt>
                  <c:idx val="84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9F-F00B-484F-A684-53B3FEB2CFF0}"/>
                    </c:ext>
                  </c:extLst>
                </c:dPt>
                <c:dPt>
                  <c:idx val="84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A1-F00B-484F-A684-53B3FEB2CFF0}"/>
                    </c:ext>
                  </c:extLst>
                </c:dPt>
                <c:dPt>
                  <c:idx val="84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A3-F00B-484F-A684-53B3FEB2CFF0}"/>
                    </c:ext>
                  </c:extLst>
                </c:dPt>
                <c:dPt>
                  <c:idx val="84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A5-F00B-484F-A684-53B3FEB2CFF0}"/>
                    </c:ext>
                  </c:extLst>
                </c:dPt>
                <c:dPt>
                  <c:idx val="85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A7-F00B-484F-A684-53B3FEB2CFF0}"/>
                    </c:ext>
                  </c:extLst>
                </c:dPt>
                <c:dPt>
                  <c:idx val="85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A9-F00B-484F-A684-53B3FEB2CFF0}"/>
                    </c:ext>
                  </c:extLst>
                </c:dPt>
                <c:dPt>
                  <c:idx val="85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AB-F00B-484F-A684-53B3FEB2CFF0}"/>
                    </c:ext>
                  </c:extLst>
                </c:dPt>
                <c:dPt>
                  <c:idx val="85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AD-F00B-484F-A684-53B3FEB2CFF0}"/>
                    </c:ext>
                  </c:extLst>
                </c:dPt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 cap="flat" cmpd="sng" algn="ctr">
                        <a:solidFill>
                          <a:schemeClr val="tx1">
                            <a:lumMod val="35000"/>
                            <a:lumOff val="65000"/>
                          </a:schemeClr>
                        </a:solidFill>
                        <a:round/>
                      </a:ln>
                      <a:effectLst/>
                    </c:spPr>
                  </c:leaderLines>
                  <c:extLst>
                    <c:ext uri="{CE6537A1-D6FC-4f65-9D91-7224C49458BB}"/>
                  </c:extLst>
                </c:dLbls>
                <c:cat>
                  <c:strRef>
                    <c:extLst>
                      <c:ext uri="{02D57815-91ED-43cb-92C2-25804820EDAC}">
                        <c15:formulaRef>
                          <c15:sqref>('Données '!$C$199,'Données '!$E$199,'Données '!$G$199,'Données '!$I$199,'Données '!$K$199,'Données '!$M$199,'Données '!$O$199)</c15:sqref>
                        </c15:formulaRef>
                      </c:ext>
                    </c:extLst>
                    <c:strCache>
                      <c:ptCount val="7"/>
                      <c:pt idx="0">
                        <c:v>ESQ ==&gt; APD</c:v>
                      </c:pt>
                      <c:pt idx="1">
                        <c:v>Fin études/AO</c:v>
                      </c:pt>
                      <c:pt idx="2">
                        <c:v>OS</c:v>
                      </c:pt>
                      <c:pt idx="3">
                        <c:v>Travaux</c:v>
                      </c:pt>
                      <c:pt idx="4">
                        <c:v>GPA</c:v>
                      </c:pt>
                      <c:pt idx="5">
                        <c:v>Clôture défisc</c:v>
                      </c:pt>
                      <c:pt idx="6">
                        <c:v>STOP</c:v>
                      </c:pt>
                    </c:strCache>
                  </c:strRef>
                </c:cat>
                <c:val>
                  <c:numRef>
                    <c:extLst>
                      <c:ext uri="{02D57815-91ED-43cb-92C2-25804820EDAC}">
                        <c15:formulaRef>
                          <c15:sqref>('Données '!$C$200,'Données '!$E$200,'Données '!$G$200,'Données '!$I$200,'Données '!$K$200,'Données '!$M$200,'Données '!$O$200)</c15:sqref>
                        </c15:formulaRef>
                      </c:ext>
                    </c:extLst>
                    <c:numCache>
                      <c:formatCode>General</c:formatCode>
                      <c:ptCount val="7"/>
                      <c:pt idx="0">
                        <c:v>2</c:v>
                      </c:pt>
                      <c:pt idx="1">
                        <c:v>3</c:v>
                      </c:pt>
                      <c:pt idx="2">
                        <c:v>0</c:v>
                      </c:pt>
                      <c:pt idx="3">
                        <c:v>2</c:v>
                      </c:pt>
                      <c:pt idx="4">
                        <c:v>2</c:v>
                      </c:pt>
                      <c:pt idx="5">
                        <c:v>0</c:v>
                      </c:pt>
                      <c:pt idx="6">
                        <c:v>0</c:v>
                      </c:pt>
                    </c:numCache>
                  </c:numRef>
                </c:val>
                <c:extLst>
                  <c:ext xmlns:c16="http://schemas.microsoft.com/office/drawing/2014/chart" uri="{C3380CC4-5D6E-409C-BE32-E72D297353CC}">
                    <c16:uniqueId val="{00000285-D743-485C-85A8-46AAD4F995FD}"/>
                  </c:ext>
                </c:extLst>
              </c15:ser>
            </c15:filteredPieSeries>
            <c15:filteredPieSeries>
              <c15:ser>
                <c:idx val="1"/>
                <c:order val="1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'Données '!$B$201</c15:sqref>
                        </c15:formulaRef>
                      </c:ext>
                    </c:extLst>
                    <c:strCache>
                      <c:ptCount val="1"/>
                      <c:pt idx="0">
                        <c:v>DBA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17-5D1C-4855-B586-1E797F9B3998}"/>
                    </c:ext>
                  </c:extLst>
                </c:dPt>
                <c:dPt>
                  <c:idx val="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B7-AE6C-4EBA-B46F-54D3AEFC70C8}"/>
                    </c:ext>
                  </c:extLst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CD-E584-4D3C-B2C0-F71AB87A2A99}"/>
                    </c:ext>
                  </c:extLst>
                </c:dPt>
                <c:dPt>
                  <c:idx val="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87-EABE-4DE8-9E08-79008D5637DA}"/>
                    </c:ext>
                  </c:extLst>
                </c:dPt>
                <c:dPt>
                  <c:idx val="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D1-E584-4D3C-B2C0-F71AB87A2A99}"/>
                    </c:ext>
                  </c:extLst>
                </c:dPt>
                <c:dPt>
                  <c:idx val="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41-4C59-4571-A0EC-AF07DC26EFB8}"/>
                    </c:ext>
                  </c:extLst>
                </c:dPt>
                <c:dPt>
                  <c:idx val="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D5-E584-4D3C-B2C0-F71AB87A2A99}"/>
                    </c:ext>
                  </c:extLst>
                </c:dPt>
                <c:dPt>
                  <c:idx val="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8B-EABE-4DE8-9E08-79008D5637DA}"/>
                    </c:ext>
                  </c:extLst>
                </c:dPt>
                <c:dPt>
                  <c:idx val="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D9-E584-4D3C-B2C0-F71AB87A2A99}"/>
                    </c:ext>
                  </c:extLst>
                </c:dPt>
                <c:dPt>
                  <c:idx val="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A7-302A-40FE-8A83-A7C7D11D567A}"/>
                    </c:ext>
                  </c:extLst>
                </c:dPt>
                <c:dPt>
                  <c:idx val="1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DD-E584-4D3C-B2C0-F71AB87A2A99}"/>
                    </c:ext>
                  </c:extLst>
                </c:dPt>
                <c:dPt>
                  <c:idx val="1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8F-EABE-4DE8-9E08-79008D5637DA}"/>
                    </c:ext>
                  </c:extLst>
                </c:dPt>
                <c:dPt>
                  <c:idx val="1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45-4C59-4571-A0EC-AF07DC26EFB8}"/>
                    </c:ext>
                  </c:extLst>
                </c:dPt>
                <c:dPt>
                  <c:idx val="1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93-EABE-4DE8-9E08-79008D5637DA}"/>
                    </c:ext>
                  </c:extLst>
                </c:dPt>
                <c:dPt>
                  <c:idx val="1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B9-AE6C-4EBA-B46F-54D3AEFC70C8}"/>
                    </c:ext>
                  </c:extLst>
                </c:dPt>
                <c:dPt>
                  <c:idx val="1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97-EABE-4DE8-9E08-79008D5637DA}"/>
                    </c:ext>
                  </c:extLst>
                </c:dPt>
                <c:dPt>
                  <c:idx val="1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49-4C59-4571-A0EC-AF07DC26EFB8}"/>
                    </c:ext>
                  </c:extLst>
                </c:dPt>
                <c:dPt>
                  <c:idx val="1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AB-302A-40FE-8A83-A7C7D11D567A}"/>
                    </c:ext>
                  </c:extLst>
                </c:dPt>
                <c:dPt>
                  <c:idx val="1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4D-4C59-4571-A0EC-AF07DC26EFB8}"/>
                    </c:ext>
                  </c:extLst>
                </c:dPt>
                <c:dPt>
                  <c:idx val="1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01-E8A9-4E9E-8D49-11C3D045B807}"/>
                    </c:ext>
                  </c:extLst>
                </c:dPt>
                <c:dPt>
                  <c:idx val="2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51-4C59-4571-A0EC-AF07DC26EFB8}"/>
                    </c:ext>
                  </c:extLst>
                </c:dPt>
                <c:dPt>
                  <c:idx val="2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E5-A99A-4D19-9146-7CAF62C902E6}"/>
                    </c:ext>
                  </c:extLst>
                </c:dPt>
                <c:dPt>
                  <c:idx val="2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05-E8A9-4E9E-8D49-11C3D045B807}"/>
                    </c:ext>
                  </c:extLst>
                </c:dPt>
                <c:dPt>
                  <c:idx val="2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C9-1F5F-4074-9566-67CD4D12EF40}"/>
                    </c:ext>
                  </c:extLst>
                </c:dPt>
                <c:dPt>
                  <c:idx val="2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E9-A99A-4D19-9146-7CAF62C902E6}"/>
                    </c:ext>
                  </c:extLst>
                </c:dPt>
                <c:dPt>
                  <c:idx val="2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F3-62DE-443A-97AD-3C7EEF438946}"/>
                    </c:ext>
                  </c:extLst>
                </c:dPt>
                <c:dPt>
                  <c:idx val="2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CD-1F5F-4074-9566-67CD4D12EF40}"/>
                    </c:ext>
                  </c:extLst>
                </c:dPt>
                <c:dPt>
                  <c:idx val="2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AF-302A-40FE-8A83-A7C7D11D567A}"/>
                    </c:ext>
                  </c:extLst>
                </c:dPt>
                <c:dPt>
                  <c:idx val="2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BB-AE6C-4EBA-B46F-54D3AEFC70C8}"/>
                    </c:ext>
                  </c:extLst>
                </c:dPt>
                <c:dPt>
                  <c:idx val="2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B3-302A-40FE-8A83-A7C7D11D567A}"/>
                    </c:ext>
                  </c:extLst>
                </c:dPt>
                <c:dPt>
                  <c:idx val="3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67-BFB8-4CBA-8932-6FA0335E0C60}"/>
                    </c:ext>
                  </c:extLst>
                </c:dPt>
                <c:dPt>
                  <c:idx val="3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B7-302A-40FE-8A83-A7C7D11D567A}"/>
                    </c:ext>
                  </c:extLst>
                </c:dPt>
                <c:dPt>
                  <c:idx val="3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4B-C13E-4FDD-8839-B550F18AAF84}"/>
                    </c:ext>
                  </c:extLst>
                </c:dPt>
                <c:dPt>
                  <c:idx val="3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6B-BFB8-4CBA-8932-6FA0335E0C60}"/>
                    </c:ext>
                  </c:extLst>
                </c:dPt>
                <c:dPt>
                  <c:idx val="3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2F-E83F-4EE4-B5B6-46E84B373EBF}"/>
                    </c:ext>
                  </c:extLst>
                </c:dPt>
                <c:dPt>
                  <c:idx val="3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4F-C13E-4FDD-8839-B550F18AAF84}"/>
                    </c:ext>
                  </c:extLst>
                </c:dPt>
                <c:dPt>
                  <c:idx val="3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13-3B02-40F7-AEF6-32F6199276C4}"/>
                    </c:ext>
                  </c:extLst>
                </c:dPt>
                <c:dPt>
                  <c:idx val="3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33-E83F-4EE4-B5B6-46E84B373EBF}"/>
                    </c:ext>
                  </c:extLst>
                </c:dPt>
                <c:dPt>
                  <c:idx val="3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F7-62DE-443A-97AD-3C7EEF438946}"/>
                    </c:ext>
                  </c:extLst>
                </c:dPt>
                <c:dPt>
                  <c:idx val="3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17-3B02-40F7-AEF6-32F6199276C4}"/>
                    </c:ext>
                  </c:extLst>
                </c:dPt>
                <c:dPt>
                  <c:idx val="4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BD-AE6C-4EBA-B46F-54D3AEFC70C8}"/>
                    </c:ext>
                  </c:extLst>
                </c:dPt>
                <c:dPt>
                  <c:idx val="4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FB-62DE-443A-97AD-3C7EEF438946}"/>
                    </c:ext>
                  </c:extLst>
                </c:dPt>
                <c:dPt>
                  <c:idx val="4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BF-AE6C-4EBA-B46F-54D3AEFC70C8}"/>
                    </c:ext>
                  </c:extLst>
                </c:dPt>
                <c:dPt>
                  <c:idx val="4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FF-62DE-443A-97AD-3C7EEF438946}"/>
                    </c:ext>
                  </c:extLst>
                </c:dPt>
                <c:dPt>
                  <c:idx val="4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67-F898-4150-B11B-A34BA52765CF}"/>
                    </c:ext>
                  </c:extLst>
                </c:dPt>
                <c:dPt>
                  <c:idx val="4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6F-0D8B-40D2-9511-1D1F43A218B5}"/>
                    </c:ext>
                  </c:extLst>
                </c:dPt>
                <c:dPt>
                  <c:idx val="4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63-229F-4516-B7C5-03D8C7DE4CBD}"/>
                    </c:ext>
                  </c:extLst>
                </c:dPt>
                <c:dPt>
                  <c:idx val="4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6B-F898-4150-B11B-A34BA52765CF}"/>
                    </c:ext>
                  </c:extLst>
                </c:dPt>
                <c:dPt>
                  <c:idx val="4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4F-33B0-411C-8DA3-1A710A95E3AE}"/>
                    </c:ext>
                  </c:extLst>
                </c:dPt>
                <c:dPt>
                  <c:idx val="4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67-229F-4516-B7C5-03D8C7DE4CBD}"/>
                    </c:ext>
                  </c:extLst>
                </c:dPt>
                <c:dPt>
                  <c:idx val="5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5B-98D6-4BCC-975D-A277E44B92A0}"/>
                    </c:ext>
                  </c:extLst>
                </c:dPt>
                <c:dPt>
                  <c:idx val="5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6B-229F-4516-B7C5-03D8C7DE4CBD}"/>
                    </c:ext>
                  </c:extLst>
                </c:dPt>
                <c:dPt>
                  <c:idx val="5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47-649D-4A19-9379-3BF4666D0E23}"/>
                    </c:ext>
                  </c:extLst>
                </c:dPt>
                <c:dPt>
                  <c:idx val="5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5F-98D6-4BCC-975D-A277E44B92A0}"/>
                    </c:ext>
                  </c:extLst>
                </c:dPt>
                <c:dPt>
                  <c:idx val="5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53-33B0-411C-8DA3-1A710A95E3AE}"/>
                    </c:ext>
                  </c:extLst>
                </c:dPt>
                <c:dPt>
                  <c:idx val="5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63-98D6-4BCC-975D-A277E44B92A0}"/>
                    </c:ext>
                  </c:extLst>
                </c:dPt>
                <c:dPt>
                  <c:idx val="5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3F-6B69-4081-840E-000F18F63EA4}"/>
                    </c:ext>
                  </c:extLst>
                </c:dPt>
                <c:dPt>
                  <c:idx val="5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57-33B0-411C-8DA3-1A710A95E3AE}"/>
                    </c:ext>
                  </c:extLst>
                </c:dPt>
                <c:dPt>
                  <c:idx val="5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4B-649D-4A19-9379-3BF4666D0E23}"/>
                    </c:ext>
                  </c:extLst>
                </c:dPt>
                <c:dPt>
                  <c:idx val="5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5B-33B0-411C-8DA3-1A710A95E3AE}"/>
                    </c:ext>
                  </c:extLst>
                </c:dPt>
                <c:dPt>
                  <c:idx val="6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37-5287-4F80-86CF-528129997249}"/>
                    </c:ext>
                  </c:extLst>
                </c:dPt>
                <c:dPt>
                  <c:idx val="6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4F-649D-4A19-9379-3BF4666D0E23}"/>
                    </c:ext>
                  </c:extLst>
                </c:dPt>
                <c:dPt>
                  <c:idx val="6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43-6B69-4081-840E-000F18F63EA4}"/>
                    </c:ext>
                  </c:extLst>
                </c:dPt>
                <c:dPt>
                  <c:idx val="6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53-649D-4A19-9379-3BF4666D0E23}"/>
                    </c:ext>
                  </c:extLst>
                </c:dPt>
                <c:dPt>
                  <c:idx val="6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23-B295-44CE-89EF-65A5FC14B26A}"/>
                    </c:ext>
                  </c:extLst>
                </c:dPt>
                <c:dPt>
                  <c:idx val="6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47-6B69-4081-840E-000F18F63EA4}"/>
                    </c:ext>
                  </c:extLst>
                </c:dPt>
                <c:dPt>
                  <c:idx val="6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3B-5287-4F80-86CF-528129997249}"/>
                    </c:ext>
                  </c:extLst>
                </c:dPt>
                <c:dPt>
                  <c:idx val="6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4B-6B69-4081-840E-000F18F63EA4}"/>
                    </c:ext>
                  </c:extLst>
                </c:dPt>
                <c:dPt>
                  <c:idx val="6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31-0DE7-45ED-9920-2F51BABEDA24}"/>
                    </c:ext>
                  </c:extLst>
                </c:dPt>
                <c:dPt>
                  <c:idx val="6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3F-5287-4F80-86CF-528129997249}"/>
                    </c:ext>
                  </c:extLst>
                </c:dPt>
                <c:dPt>
                  <c:idx val="7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0D-81F0-4AF8-A703-F8176C52F44D}"/>
                    </c:ext>
                  </c:extLst>
                </c:dPt>
                <c:dPt>
                  <c:idx val="7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43-5287-4F80-86CF-528129997249}"/>
                    </c:ext>
                  </c:extLst>
                </c:dPt>
                <c:dPt>
                  <c:idx val="7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35-0DE7-45ED-9920-2F51BABEDA24}"/>
                    </c:ext>
                  </c:extLst>
                </c:dPt>
                <c:dPt>
                  <c:idx val="7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27-B295-44CE-89EF-65A5FC14B26A}"/>
                    </c:ext>
                  </c:extLst>
                </c:dPt>
                <c:dPt>
                  <c:idx val="7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39-0DE7-45ED-9920-2F51BABEDA24}"/>
                    </c:ext>
                  </c:extLst>
                </c:dPt>
                <c:dPt>
                  <c:idx val="7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FF-D5D9-45D6-A8C4-5057955FE328}"/>
                    </c:ext>
                  </c:extLst>
                </c:dPt>
                <c:dPt>
                  <c:idx val="7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3D-0DE7-45ED-9920-2F51BABEDA24}"/>
                    </c:ext>
                  </c:extLst>
                </c:dPt>
                <c:dPt>
                  <c:idx val="7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2B-B295-44CE-89EF-65A5FC14B26A}"/>
                    </c:ext>
                  </c:extLst>
                </c:dPt>
                <c:dPt>
                  <c:idx val="7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11-81F0-4AF8-A703-F8176C52F44D}"/>
                    </c:ext>
                  </c:extLst>
                </c:dPt>
                <c:dPt>
                  <c:idx val="7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2F-B295-44CE-89EF-65A5FC14B26A}"/>
                    </c:ext>
                  </c:extLst>
                </c:dPt>
                <c:dPt>
                  <c:idx val="8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1F-9849-460D-9466-26FC8283A2F0}"/>
                    </c:ext>
                  </c:extLst>
                </c:dPt>
                <c:dPt>
                  <c:idx val="8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33-B295-44CE-89EF-65A5FC14B26A}"/>
                    </c:ext>
                  </c:extLst>
                </c:dPt>
                <c:dPt>
                  <c:idx val="8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1B-172F-4947-91A3-476DF561E35B}"/>
                    </c:ext>
                  </c:extLst>
                </c:dPt>
                <c:dPt>
                  <c:idx val="8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23-9849-460D-9466-26FC8283A2F0}"/>
                    </c:ext>
                  </c:extLst>
                </c:dPt>
                <c:dPt>
                  <c:idx val="8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17-9982-4CD1-B159-BA3D758AB623}"/>
                    </c:ext>
                  </c:extLst>
                </c:dPt>
                <c:dPt>
                  <c:idx val="8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1F-172F-4947-91A3-476DF561E35B}"/>
                    </c:ext>
                  </c:extLst>
                </c:dPt>
                <c:dPt>
                  <c:idx val="8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B3-F00B-484F-A684-53B3FEB2CFF0}"/>
                    </c:ext>
                  </c:extLst>
                </c:dPt>
                <c:dPt>
                  <c:idx val="8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1B-9982-4CD1-B159-BA3D758AB623}"/>
                    </c:ext>
                  </c:extLst>
                </c:dPt>
                <c:dPt>
                  <c:idx val="8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15-81F0-4AF8-A703-F8176C52F44D}"/>
                    </c:ext>
                  </c:extLst>
                </c:dPt>
                <c:dPt>
                  <c:idx val="8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03-D5D9-45D6-A8C4-5057955FE328}"/>
                    </c:ext>
                  </c:extLst>
                </c:dPt>
                <c:dPt>
                  <c:idx val="9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19-81F0-4AF8-A703-F8176C52F44D}"/>
                    </c:ext>
                  </c:extLst>
                </c:dPt>
                <c:dPt>
                  <c:idx val="9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09-9CE4-4E34-AFF1-267C71AB9199}"/>
                    </c:ext>
                  </c:extLst>
                </c:dPt>
                <c:dPt>
                  <c:idx val="9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1D-81F0-4AF8-A703-F8176C52F44D}"/>
                    </c:ext>
                  </c:extLst>
                </c:dPt>
                <c:dPt>
                  <c:idx val="9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F7-C417-4560-BC0F-217B4A2E6275}"/>
                    </c:ext>
                  </c:extLst>
                </c:dPt>
                <c:dPt>
                  <c:idx val="9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0D-9CE4-4E34-AFF1-267C71AB9199}"/>
                    </c:ext>
                  </c:extLst>
                </c:dPt>
                <c:dPt>
                  <c:idx val="9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07-D5D9-45D6-A8C4-5057955FE328}"/>
                    </c:ext>
                  </c:extLst>
                </c:dPt>
                <c:dPt>
                  <c:idx val="9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F9-C417-4560-BC0F-217B4A2E6275}"/>
                    </c:ext>
                  </c:extLst>
                </c:dPt>
                <c:dPt>
                  <c:idx val="9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0B-D5D9-45D6-A8C4-5057955FE328}"/>
                    </c:ext>
                  </c:extLst>
                </c:dPt>
                <c:dPt>
                  <c:idx val="9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FB-C417-4560-BC0F-217B4A2E6275}"/>
                    </c:ext>
                  </c:extLst>
                </c:dPt>
                <c:dPt>
                  <c:idx val="9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0F-D5D9-45D6-A8C4-5057955FE328}"/>
                    </c:ext>
                  </c:extLst>
                </c:dPt>
                <c:dPt>
                  <c:idx val="10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F7-CEE0-426A-ADFF-C0609E3D257A}"/>
                    </c:ext>
                  </c:extLst>
                </c:dPt>
                <c:dPt>
                  <c:idx val="10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FF-C417-4560-BC0F-217B4A2E6275}"/>
                    </c:ext>
                  </c:extLst>
                </c:dPt>
                <c:dPt>
                  <c:idx val="10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F3-8252-477A-9734-EDA65DAC8A05}"/>
                    </c:ext>
                  </c:extLst>
                </c:dPt>
                <c:dPt>
                  <c:idx val="10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FB-CEE0-426A-ADFF-C0609E3D257A}"/>
                    </c:ext>
                  </c:extLst>
                </c:dPt>
                <c:dPt>
                  <c:idx val="10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EF-158B-4273-955D-24B445AB8A26}"/>
                    </c:ext>
                  </c:extLst>
                </c:dPt>
                <c:dPt>
                  <c:idx val="10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F7-8252-477A-9734-EDA65DAC8A05}"/>
                    </c:ext>
                  </c:extLst>
                </c:dPt>
                <c:dPt>
                  <c:idx val="10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EB-A643-44EF-AA4D-851003185A15}"/>
                    </c:ext>
                  </c:extLst>
                </c:dPt>
                <c:dPt>
                  <c:idx val="10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F3-158B-4273-955D-24B445AB8A26}"/>
                    </c:ext>
                  </c:extLst>
                </c:dPt>
                <c:dPt>
                  <c:idx val="10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E7-28A2-4C21-B514-9813D03051EF}"/>
                    </c:ext>
                  </c:extLst>
                </c:dPt>
                <c:dPt>
                  <c:idx val="10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EF-A643-44EF-AA4D-851003185A15}"/>
                    </c:ext>
                  </c:extLst>
                </c:dPt>
                <c:dPt>
                  <c:idx val="11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E3-09AA-4AE6-855F-3A8CA6FF232C}"/>
                    </c:ext>
                  </c:extLst>
                </c:dPt>
                <c:dPt>
                  <c:idx val="11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EB-28A2-4C21-B514-9813D03051EF}"/>
                    </c:ext>
                  </c:extLst>
                </c:dPt>
                <c:dPt>
                  <c:idx val="11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DF-E753-42AA-A8BC-AEE8AF3ECFFF}"/>
                    </c:ext>
                  </c:extLst>
                </c:dPt>
                <c:dPt>
                  <c:idx val="11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E7-09AA-4AE6-855F-3A8CA6FF232C}"/>
                    </c:ext>
                  </c:extLst>
                </c:dPt>
                <c:dPt>
                  <c:idx val="11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DB-9150-4240-917C-FC1BB9816CF4}"/>
                    </c:ext>
                  </c:extLst>
                </c:dPt>
                <c:dPt>
                  <c:idx val="11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E3-E753-42AA-A8BC-AEE8AF3ECFFF}"/>
                    </c:ext>
                  </c:extLst>
                </c:dPt>
                <c:dPt>
                  <c:idx val="11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B5-F00B-484F-A684-53B3FEB2CFF0}"/>
                    </c:ext>
                  </c:extLst>
                </c:dPt>
                <c:dPt>
                  <c:idx val="11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DF-9150-4240-917C-FC1BB9816CF4}"/>
                    </c:ext>
                  </c:extLst>
                </c:dPt>
                <c:dPt>
                  <c:idx val="11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D3-C43B-49E9-861A-AF0108B517A2}"/>
                    </c:ext>
                  </c:extLst>
                </c:dPt>
                <c:dPt>
                  <c:idx val="11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E3-9150-4240-917C-FC1BB9816CF4}"/>
                    </c:ext>
                  </c:extLst>
                </c:dPt>
                <c:dPt>
                  <c:idx val="12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C9-DD2E-41FC-BB90-A37E53752B9B}"/>
                    </c:ext>
                  </c:extLst>
                </c:dPt>
                <c:dPt>
                  <c:idx val="12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D7-C43B-49E9-861A-AF0108B517A2}"/>
                    </c:ext>
                  </c:extLst>
                </c:dPt>
                <c:dPt>
                  <c:idx val="12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B7-F00B-484F-A684-53B3FEB2CFF0}"/>
                    </c:ext>
                  </c:extLst>
                </c:dPt>
                <c:dPt>
                  <c:idx val="12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DB-C43B-49E9-861A-AF0108B517A2}"/>
                    </c:ext>
                  </c:extLst>
                </c:dPt>
                <c:dPt>
                  <c:idx val="12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CD-DD2E-41FC-BB90-A37E53752B9B}"/>
                    </c:ext>
                  </c:extLst>
                </c:dPt>
                <c:dPt>
                  <c:idx val="12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C5-54F6-4C32-9950-D5C5177AD91E}"/>
                    </c:ext>
                  </c:extLst>
                </c:dPt>
                <c:dPt>
                  <c:idx val="12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D1-DD2E-41FC-BB90-A37E53752B9B}"/>
                    </c:ext>
                  </c:extLst>
                </c:dPt>
                <c:dPt>
                  <c:idx val="12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C1-F9C9-4A72-BE65-646D5EB3B762}"/>
                    </c:ext>
                  </c:extLst>
                </c:dPt>
                <c:dPt>
                  <c:idx val="12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C9-54F6-4C32-9950-D5C5177AD91E}"/>
                    </c:ext>
                  </c:extLst>
                </c:dPt>
                <c:dPt>
                  <c:idx val="12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BD-DCFD-4969-9ED1-D81E777C917B}"/>
                    </c:ext>
                  </c:extLst>
                </c:dPt>
                <c:dPt>
                  <c:idx val="13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C5-F9C9-4A72-BE65-646D5EB3B762}"/>
                    </c:ext>
                  </c:extLst>
                </c:dPt>
                <c:dPt>
                  <c:idx val="13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B9-F00B-484F-A684-53B3FEB2CFF0}"/>
                    </c:ext>
                  </c:extLst>
                </c:dPt>
                <c:dPt>
                  <c:idx val="13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C1-DCFD-4969-9ED1-D81E777C917B}"/>
                    </c:ext>
                  </c:extLst>
                </c:dPt>
                <c:dPt>
                  <c:idx val="13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BB-F00B-484F-A684-53B3FEB2CFF0}"/>
                    </c:ext>
                  </c:extLst>
                </c:dPt>
                <c:dPt>
                  <c:idx val="13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BD-F00B-484F-A684-53B3FEB2CFF0}"/>
                    </c:ext>
                  </c:extLst>
                </c:dPt>
                <c:dPt>
                  <c:idx val="13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BF-F00B-484F-A684-53B3FEB2CFF0}"/>
                    </c:ext>
                  </c:extLst>
                </c:dPt>
                <c:dPt>
                  <c:idx val="13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C1-F00B-484F-A684-53B3FEB2CFF0}"/>
                    </c:ext>
                  </c:extLst>
                </c:dPt>
                <c:dPt>
                  <c:idx val="13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C3-F00B-484F-A684-53B3FEB2CFF0}"/>
                    </c:ext>
                  </c:extLst>
                </c:dPt>
                <c:dPt>
                  <c:idx val="13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C5-F00B-484F-A684-53B3FEB2CFF0}"/>
                    </c:ext>
                  </c:extLst>
                </c:dPt>
                <c:dPt>
                  <c:idx val="13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C7-F00B-484F-A684-53B3FEB2CFF0}"/>
                    </c:ext>
                  </c:extLst>
                </c:dPt>
                <c:dPt>
                  <c:idx val="14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C9-F00B-484F-A684-53B3FEB2CFF0}"/>
                    </c:ext>
                  </c:extLst>
                </c:dPt>
                <c:dPt>
                  <c:idx val="14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CB-F00B-484F-A684-53B3FEB2CFF0}"/>
                    </c:ext>
                  </c:extLst>
                </c:dPt>
                <c:dPt>
                  <c:idx val="14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CD-F00B-484F-A684-53B3FEB2CFF0}"/>
                    </c:ext>
                  </c:extLst>
                </c:dPt>
                <c:dPt>
                  <c:idx val="14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CF-F00B-484F-A684-53B3FEB2CFF0}"/>
                    </c:ext>
                  </c:extLst>
                </c:dPt>
                <c:dPt>
                  <c:idx val="14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D1-F00B-484F-A684-53B3FEB2CFF0}"/>
                    </c:ext>
                  </c:extLst>
                </c:dPt>
                <c:dPt>
                  <c:idx val="14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D3-F00B-484F-A684-53B3FEB2CFF0}"/>
                    </c:ext>
                  </c:extLst>
                </c:dPt>
                <c:dPt>
                  <c:idx val="14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D5-F00B-484F-A684-53B3FEB2CFF0}"/>
                    </c:ext>
                  </c:extLst>
                </c:dPt>
                <c:dPt>
                  <c:idx val="14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D7-F00B-484F-A684-53B3FEB2CFF0}"/>
                    </c:ext>
                  </c:extLst>
                </c:dPt>
                <c:dPt>
                  <c:idx val="14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D9-F00B-484F-A684-53B3FEB2CFF0}"/>
                    </c:ext>
                  </c:extLst>
                </c:dPt>
                <c:dPt>
                  <c:idx val="14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DB-F00B-484F-A684-53B3FEB2CFF0}"/>
                    </c:ext>
                  </c:extLst>
                </c:dPt>
                <c:dPt>
                  <c:idx val="15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DD-F00B-484F-A684-53B3FEB2CFF0}"/>
                    </c:ext>
                  </c:extLst>
                </c:dPt>
                <c:dPt>
                  <c:idx val="15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DF-F00B-484F-A684-53B3FEB2CFF0}"/>
                    </c:ext>
                  </c:extLst>
                </c:dPt>
                <c:dPt>
                  <c:idx val="15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E1-F00B-484F-A684-53B3FEB2CFF0}"/>
                    </c:ext>
                  </c:extLst>
                </c:dPt>
                <c:dPt>
                  <c:idx val="15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E3-F00B-484F-A684-53B3FEB2CFF0}"/>
                    </c:ext>
                  </c:extLst>
                </c:dPt>
                <c:dPt>
                  <c:idx val="15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E5-F00B-484F-A684-53B3FEB2CFF0}"/>
                    </c:ext>
                  </c:extLst>
                </c:dPt>
                <c:dPt>
                  <c:idx val="15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E7-F00B-484F-A684-53B3FEB2CFF0}"/>
                    </c:ext>
                  </c:extLst>
                </c:dPt>
                <c:dPt>
                  <c:idx val="15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E9-F00B-484F-A684-53B3FEB2CFF0}"/>
                    </c:ext>
                  </c:extLst>
                </c:dPt>
                <c:dPt>
                  <c:idx val="15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EB-F00B-484F-A684-53B3FEB2CFF0}"/>
                    </c:ext>
                  </c:extLst>
                </c:dPt>
                <c:dPt>
                  <c:idx val="15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ED-F00B-484F-A684-53B3FEB2CFF0}"/>
                    </c:ext>
                  </c:extLst>
                </c:dPt>
                <c:dPt>
                  <c:idx val="15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EF-F00B-484F-A684-53B3FEB2CFF0}"/>
                    </c:ext>
                  </c:extLst>
                </c:dPt>
                <c:dPt>
                  <c:idx val="16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F1-F00B-484F-A684-53B3FEB2CFF0}"/>
                    </c:ext>
                  </c:extLst>
                </c:dPt>
                <c:dPt>
                  <c:idx val="16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F3-F00B-484F-A684-53B3FEB2CFF0}"/>
                    </c:ext>
                  </c:extLst>
                </c:dPt>
                <c:dPt>
                  <c:idx val="16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F5-F00B-484F-A684-53B3FEB2CFF0}"/>
                    </c:ext>
                  </c:extLst>
                </c:dPt>
                <c:dPt>
                  <c:idx val="16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F7-F00B-484F-A684-53B3FEB2CFF0}"/>
                    </c:ext>
                  </c:extLst>
                </c:dPt>
                <c:dPt>
                  <c:idx val="16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F9-F00B-484F-A684-53B3FEB2CFF0}"/>
                    </c:ext>
                  </c:extLst>
                </c:dPt>
                <c:dPt>
                  <c:idx val="16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FB-F00B-484F-A684-53B3FEB2CFF0}"/>
                    </c:ext>
                  </c:extLst>
                </c:dPt>
                <c:dPt>
                  <c:idx val="16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FD-F00B-484F-A684-53B3FEB2CFF0}"/>
                    </c:ext>
                  </c:extLst>
                </c:dPt>
                <c:dPt>
                  <c:idx val="16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FF-F00B-484F-A684-53B3FEB2CFF0}"/>
                    </c:ext>
                  </c:extLst>
                </c:dPt>
                <c:dPt>
                  <c:idx val="16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01-F00B-484F-A684-53B3FEB2CFF0}"/>
                    </c:ext>
                  </c:extLst>
                </c:dPt>
                <c:dPt>
                  <c:idx val="16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03-F00B-484F-A684-53B3FEB2CFF0}"/>
                    </c:ext>
                  </c:extLst>
                </c:dPt>
                <c:dPt>
                  <c:idx val="17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05-F00B-484F-A684-53B3FEB2CFF0}"/>
                    </c:ext>
                  </c:extLst>
                </c:dPt>
                <c:dPt>
                  <c:idx val="17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07-F00B-484F-A684-53B3FEB2CFF0}"/>
                    </c:ext>
                  </c:extLst>
                </c:dPt>
                <c:dPt>
                  <c:idx val="17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09-F00B-484F-A684-53B3FEB2CFF0}"/>
                    </c:ext>
                  </c:extLst>
                </c:dPt>
                <c:dPt>
                  <c:idx val="17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0B-F00B-484F-A684-53B3FEB2CFF0}"/>
                    </c:ext>
                  </c:extLst>
                </c:dPt>
                <c:dPt>
                  <c:idx val="17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0D-F00B-484F-A684-53B3FEB2CFF0}"/>
                    </c:ext>
                  </c:extLst>
                </c:dPt>
                <c:dPt>
                  <c:idx val="17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0F-F00B-484F-A684-53B3FEB2CFF0}"/>
                    </c:ext>
                  </c:extLst>
                </c:dPt>
                <c:dPt>
                  <c:idx val="17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11-F00B-484F-A684-53B3FEB2CFF0}"/>
                    </c:ext>
                  </c:extLst>
                </c:dPt>
                <c:dPt>
                  <c:idx val="17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13-F00B-484F-A684-53B3FEB2CFF0}"/>
                    </c:ext>
                  </c:extLst>
                </c:dPt>
                <c:dPt>
                  <c:idx val="17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15-F00B-484F-A684-53B3FEB2CFF0}"/>
                    </c:ext>
                  </c:extLst>
                </c:dPt>
                <c:dPt>
                  <c:idx val="17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17-F00B-484F-A684-53B3FEB2CFF0}"/>
                    </c:ext>
                  </c:extLst>
                </c:dPt>
                <c:dPt>
                  <c:idx val="18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19-F00B-484F-A684-53B3FEB2CFF0}"/>
                    </c:ext>
                  </c:extLst>
                </c:dPt>
                <c:dPt>
                  <c:idx val="18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1B-F00B-484F-A684-53B3FEB2CFF0}"/>
                    </c:ext>
                  </c:extLst>
                </c:dPt>
                <c:dPt>
                  <c:idx val="18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1D-F00B-484F-A684-53B3FEB2CFF0}"/>
                    </c:ext>
                  </c:extLst>
                </c:dPt>
                <c:dPt>
                  <c:idx val="18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1F-F00B-484F-A684-53B3FEB2CFF0}"/>
                    </c:ext>
                  </c:extLst>
                </c:dPt>
                <c:dPt>
                  <c:idx val="18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21-F00B-484F-A684-53B3FEB2CFF0}"/>
                    </c:ext>
                  </c:extLst>
                </c:dPt>
                <c:dPt>
                  <c:idx val="18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23-F00B-484F-A684-53B3FEB2CFF0}"/>
                    </c:ext>
                  </c:extLst>
                </c:dPt>
                <c:dPt>
                  <c:idx val="18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25-F00B-484F-A684-53B3FEB2CFF0}"/>
                    </c:ext>
                  </c:extLst>
                </c:dPt>
                <c:dPt>
                  <c:idx val="18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27-F00B-484F-A684-53B3FEB2CFF0}"/>
                    </c:ext>
                  </c:extLst>
                </c:dPt>
                <c:dPt>
                  <c:idx val="18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29-F00B-484F-A684-53B3FEB2CFF0}"/>
                    </c:ext>
                  </c:extLst>
                </c:dPt>
                <c:dPt>
                  <c:idx val="18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2B-F00B-484F-A684-53B3FEB2CFF0}"/>
                    </c:ext>
                  </c:extLst>
                </c:dPt>
                <c:dPt>
                  <c:idx val="19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2D-F00B-484F-A684-53B3FEB2CFF0}"/>
                    </c:ext>
                  </c:extLst>
                </c:dPt>
                <c:dPt>
                  <c:idx val="19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2F-F00B-484F-A684-53B3FEB2CFF0}"/>
                    </c:ext>
                  </c:extLst>
                </c:dPt>
                <c:dPt>
                  <c:idx val="19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31-F00B-484F-A684-53B3FEB2CFF0}"/>
                    </c:ext>
                  </c:extLst>
                </c:dPt>
                <c:dPt>
                  <c:idx val="19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33-F00B-484F-A684-53B3FEB2CFF0}"/>
                    </c:ext>
                  </c:extLst>
                </c:dPt>
                <c:dPt>
                  <c:idx val="19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35-F00B-484F-A684-53B3FEB2CFF0}"/>
                    </c:ext>
                  </c:extLst>
                </c:dPt>
                <c:dPt>
                  <c:idx val="19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37-F00B-484F-A684-53B3FEB2CFF0}"/>
                    </c:ext>
                  </c:extLst>
                </c:dPt>
                <c:dPt>
                  <c:idx val="19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39-F00B-484F-A684-53B3FEB2CFF0}"/>
                    </c:ext>
                  </c:extLst>
                </c:dPt>
                <c:dPt>
                  <c:idx val="19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3B-F00B-484F-A684-53B3FEB2CFF0}"/>
                    </c:ext>
                  </c:extLst>
                </c:dPt>
                <c:dPt>
                  <c:idx val="19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3D-F00B-484F-A684-53B3FEB2CFF0}"/>
                    </c:ext>
                  </c:extLst>
                </c:dPt>
                <c:dPt>
                  <c:idx val="19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3F-F00B-484F-A684-53B3FEB2CFF0}"/>
                    </c:ext>
                  </c:extLst>
                </c:dPt>
                <c:dPt>
                  <c:idx val="20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41-F00B-484F-A684-53B3FEB2CFF0}"/>
                    </c:ext>
                  </c:extLst>
                </c:dPt>
                <c:dPt>
                  <c:idx val="20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43-F00B-484F-A684-53B3FEB2CFF0}"/>
                    </c:ext>
                  </c:extLst>
                </c:dPt>
                <c:dPt>
                  <c:idx val="20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45-F00B-484F-A684-53B3FEB2CFF0}"/>
                    </c:ext>
                  </c:extLst>
                </c:dPt>
                <c:dPt>
                  <c:idx val="20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47-F00B-484F-A684-53B3FEB2CFF0}"/>
                    </c:ext>
                  </c:extLst>
                </c:dPt>
                <c:dPt>
                  <c:idx val="20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49-F00B-484F-A684-53B3FEB2CFF0}"/>
                    </c:ext>
                  </c:extLst>
                </c:dPt>
                <c:dPt>
                  <c:idx val="20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4B-F00B-484F-A684-53B3FEB2CFF0}"/>
                    </c:ext>
                  </c:extLst>
                </c:dPt>
                <c:dPt>
                  <c:idx val="20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4D-F00B-484F-A684-53B3FEB2CFF0}"/>
                    </c:ext>
                  </c:extLst>
                </c:dPt>
                <c:dPt>
                  <c:idx val="20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4F-F00B-484F-A684-53B3FEB2CFF0}"/>
                    </c:ext>
                  </c:extLst>
                </c:dPt>
                <c:dPt>
                  <c:idx val="20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51-F00B-484F-A684-53B3FEB2CFF0}"/>
                    </c:ext>
                  </c:extLst>
                </c:dPt>
                <c:dPt>
                  <c:idx val="20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53-F00B-484F-A684-53B3FEB2CFF0}"/>
                    </c:ext>
                  </c:extLst>
                </c:dPt>
                <c:dPt>
                  <c:idx val="21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55-F00B-484F-A684-53B3FEB2CFF0}"/>
                    </c:ext>
                  </c:extLst>
                </c:dPt>
                <c:dPt>
                  <c:idx val="21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57-F00B-484F-A684-53B3FEB2CFF0}"/>
                    </c:ext>
                  </c:extLst>
                </c:dPt>
                <c:dPt>
                  <c:idx val="21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59-F00B-484F-A684-53B3FEB2CFF0}"/>
                    </c:ext>
                  </c:extLst>
                </c:dPt>
                <c:dPt>
                  <c:idx val="21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5B-F00B-484F-A684-53B3FEB2CFF0}"/>
                    </c:ext>
                  </c:extLst>
                </c:dPt>
                <c:dPt>
                  <c:idx val="21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5D-F00B-484F-A684-53B3FEB2CFF0}"/>
                    </c:ext>
                  </c:extLst>
                </c:dPt>
                <c:dPt>
                  <c:idx val="21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5F-F00B-484F-A684-53B3FEB2CFF0}"/>
                    </c:ext>
                  </c:extLst>
                </c:dPt>
                <c:dPt>
                  <c:idx val="21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61-F00B-484F-A684-53B3FEB2CFF0}"/>
                    </c:ext>
                  </c:extLst>
                </c:dPt>
                <c:dPt>
                  <c:idx val="21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63-F00B-484F-A684-53B3FEB2CFF0}"/>
                    </c:ext>
                  </c:extLst>
                </c:dPt>
                <c:dPt>
                  <c:idx val="21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65-F00B-484F-A684-53B3FEB2CFF0}"/>
                    </c:ext>
                  </c:extLst>
                </c:dPt>
                <c:dPt>
                  <c:idx val="21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67-F00B-484F-A684-53B3FEB2CFF0}"/>
                    </c:ext>
                  </c:extLst>
                </c:dPt>
                <c:dPt>
                  <c:idx val="22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69-F00B-484F-A684-53B3FEB2CFF0}"/>
                    </c:ext>
                  </c:extLst>
                </c:dPt>
                <c:dPt>
                  <c:idx val="22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6B-F00B-484F-A684-53B3FEB2CFF0}"/>
                    </c:ext>
                  </c:extLst>
                </c:dPt>
                <c:dPt>
                  <c:idx val="22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6D-F00B-484F-A684-53B3FEB2CFF0}"/>
                    </c:ext>
                  </c:extLst>
                </c:dPt>
                <c:dPt>
                  <c:idx val="22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6F-F00B-484F-A684-53B3FEB2CFF0}"/>
                    </c:ext>
                  </c:extLst>
                </c:dPt>
                <c:dPt>
                  <c:idx val="22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71-F00B-484F-A684-53B3FEB2CFF0}"/>
                    </c:ext>
                  </c:extLst>
                </c:dPt>
                <c:dPt>
                  <c:idx val="22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73-F00B-484F-A684-53B3FEB2CFF0}"/>
                    </c:ext>
                  </c:extLst>
                </c:dPt>
                <c:dPt>
                  <c:idx val="22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75-F00B-484F-A684-53B3FEB2CFF0}"/>
                    </c:ext>
                  </c:extLst>
                </c:dPt>
                <c:dPt>
                  <c:idx val="22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77-F00B-484F-A684-53B3FEB2CFF0}"/>
                    </c:ext>
                  </c:extLst>
                </c:dPt>
                <c:dPt>
                  <c:idx val="22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79-F00B-484F-A684-53B3FEB2CFF0}"/>
                    </c:ext>
                  </c:extLst>
                </c:dPt>
                <c:dPt>
                  <c:idx val="22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7B-F00B-484F-A684-53B3FEB2CFF0}"/>
                    </c:ext>
                  </c:extLst>
                </c:dPt>
                <c:dPt>
                  <c:idx val="23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7D-F00B-484F-A684-53B3FEB2CFF0}"/>
                    </c:ext>
                  </c:extLst>
                </c:dPt>
                <c:dPt>
                  <c:idx val="23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7F-F00B-484F-A684-53B3FEB2CFF0}"/>
                    </c:ext>
                  </c:extLst>
                </c:dPt>
                <c:dPt>
                  <c:idx val="23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81-F00B-484F-A684-53B3FEB2CFF0}"/>
                    </c:ext>
                  </c:extLst>
                </c:dPt>
                <c:dPt>
                  <c:idx val="23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83-F00B-484F-A684-53B3FEB2CFF0}"/>
                    </c:ext>
                  </c:extLst>
                </c:dPt>
                <c:dPt>
                  <c:idx val="23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85-F00B-484F-A684-53B3FEB2CFF0}"/>
                    </c:ext>
                  </c:extLst>
                </c:dPt>
                <c:dPt>
                  <c:idx val="23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87-F00B-484F-A684-53B3FEB2CFF0}"/>
                    </c:ext>
                  </c:extLst>
                </c:dPt>
                <c:dPt>
                  <c:idx val="23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89-F00B-484F-A684-53B3FEB2CFF0}"/>
                    </c:ext>
                  </c:extLst>
                </c:dPt>
                <c:dPt>
                  <c:idx val="23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8B-F00B-484F-A684-53B3FEB2CFF0}"/>
                    </c:ext>
                  </c:extLst>
                </c:dPt>
                <c:dPt>
                  <c:idx val="23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8D-F00B-484F-A684-53B3FEB2CFF0}"/>
                    </c:ext>
                  </c:extLst>
                </c:dPt>
                <c:dPt>
                  <c:idx val="23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8F-F00B-484F-A684-53B3FEB2CFF0}"/>
                    </c:ext>
                  </c:extLst>
                </c:dPt>
                <c:dPt>
                  <c:idx val="24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91-F00B-484F-A684-53B3FEB2CFF0}"/>
                    </c:ext>
                  </c:extLst>
                </c:dPt>
                <c:dPt>
                  <c:idx val="24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93-F00B-484F-A684-53B3FEB2CFF0}"/>
                    </c:ext>
                  </c:extLst>
                </c:dPt>
                <c:dPt>
                  <c:idx val="24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95-F00B-484F-A684-53B3FEB2CFF0}"/>
                    </c:ext>
                  </c:extLst>
                </c:dPt>
                <c:dPt>
                  <c:idx val="24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97-F00B-484F-A684-53B3FEB2CFF0}"/>
                    </c:ext>
                  </c:extLst>
                </c:dPt>
                <c:dPt>
                  <c:idx val="24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99-F00B-484F-A684-53B3FEB2CFF0}"/>
                    </c:ext>
                  </c:extLst>
                </c:dPt>
                <c:dPt>
                  <c:idx val="24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9B-F00B-484F-A684-53B3FEB2CFF0}"/>
                    </c:ext>
                  </c:extLst>
                </c:dPt>
                <c:dPt>
                  <c:idx val="24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9D-F00B-484F-A684-53B3FEB2CFF0}"/>
                    </c:ext>
                  </c:extLst>
                </c:dPt>
                <c:dPt>
                  <c:idx val="24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9F-F00B-484F-A684-53B3FEB2CFF0}"/>
                    </c:ext>
                  </c:extLst>
                </c:dPt>
                <c:dPt>
                  <c:idx val="24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A1-F00B-484F-A684-53B3FEB2CFF0}"/>
                    </c:ext>
                  </c:extLst>
                </c:dPt>
                <c:dPt>
                  <c:idx val="24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A3-F00B-484F-A684-53B3FEB2CFF0}"/>
                    </c:ext>
                  </c:extLst>
                </c:dPt>
                <c:dPt>
                  <c:idx val="25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A5-F00B-484F-A684-53B3FEB2CFF0}"/>
                    </c:ext>
                  </c:extLst>
                </c:dPt>
                <c:dPt>
                  <c:idx val="25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A7-F00B-484F-A684-53B3FEB2CFF0}"/>
                    </c:ext>
                  </c:extLst>
                </c:dPt>
                <c:dPt>
                  <c:idx val="25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A9-F00B-484F-A684-53B3FEB2CFF0}"/>
                    </c:ext>
                  </c:extLst>
                </c:dPt>
                <c:dPt>
                  <c:idx val="25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AB-F00B-484F-A684-53B3FEB2CFF0}"/>
                    </c:ext>
                  </c:extLst>
                </c:dPt>
                <c:dPt>
                  <c:idx val="25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AD-F00B-484F-A684-53B3FEB2CFF0}"/>
                    </c:ext>
                  </c:extLst>
                </c:dPt>
                <c:dPt>
                  <c:idx val="25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AF-F00B-484F-A684-53B3FEB2CFF0}"/>
                    </c:ext>
                  </c:extLst>
                </c:dPt>
                <c:dPt>
                  <c:idx val="25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B1-F00B-484F-A684-53B3FEB2CFF0}"/>
                    </c:ext>
                  </c:extLst>
                </c:dPt>
                <c:dPt>
                  <c:idx val="25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B3-F00B-484F-A684-53B3FEB2CFF0}"/>
                    </c:ext>
                  </c:extLst>
                </c:dPt>
                <c:dPt>
                  <c:idx val="25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B5-F00B-484F-A684-53B3FEB2CFF0}"/>
                    </c:ext>
                  </c:extLst>
                </c:dPt>
                <c:dPt>
                  <c:idx val="25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B7-F00B-484F-A684-53B3FEB2CFF0}"/>
                    </c:ext>
                  </c:extLst>
                </c:dPt>
                <c:dPt>
                  <c:idx val="26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B9-F00B-484F-A684-53B3FEB2CFF0}"/>
                    </c:ext>
                  </c:extLst>
                </c:dPt>
                <c:dPt>
                  <c:idx val="26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BB-F00B-484F-A684-53B3FEB2CFF0}"/>
                    </c:ext>
                  </c:extLst>
                </c:dPt>
                <c:dPt>
                  <c:idx val="26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BD-F00B-484F-A684-53B3FEB2CFF0}"/>
                    </c:ext>
                  </c:extLst>
                </c:dPt>
                <c:dPt>
                  <c:idx val="26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BF-F00B-484F-A684-53B3FEB2CFF0}"/>
                    </c:ext>
                  </c:extLst>
                </c:dPt>
                <c:dPt>
                  <c:idx val="26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C1-F00B-484F-A684-53B3FEB2CFF0}"/>
                    </c:ext>
                  </c:extLst>
                </c:dPt>
                <c:dPt>
                  <c:idx val="26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C3-F00B-484F-A684-53B3FEB2CFF0}"/>
                    </c:ext>
                  </c:extLst>
                </c:dPt>
                <c:dPt>
                  <c:idx val="26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C5-F00B-484F-A684-53B3FEB2CFF0}"/>
                    </c:ext>
                  </c:extLst>
                </c:dPt>
                <c:dPt>
                  <c:idx val="26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C7-F00B-484F-A684-53B3FEB2CFF0}"/>
                    </c:ext>
                  </c:extLst>
                </c:dPt>
                <c:dPt>
                  <c:idx val="26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C9-F00B-484F-A684-53B3FEB2CFF0}"/>
                    </c:ext>
                  </c:extLst>
                </c:dPt>
                <c:dPt>
                  <c:idx val="26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CB-F00B-484F-A684-53B3FEB2CFF0}"/>
                    </c:ext>
                  </c:extLst>
                </c:dPt>
                <c:dPt>
                  <c:idx val="27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CD-F00B-484F-A684-53B3FEB2CFF0}"/>
                    </c:ext>
                  </c:extLst>
                </c:dPt>
                <c:dPt>
                  <c:idx val="27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CF-F00B-484F-A684-53B3FEB2CFF0}"/>
                    </c:ext>
                  </c:extLst>
                </c:dPt>
                <c:dPt>
                  <c:idx val="27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D1-F00B-484F-A684-53B3FEB2CFF0}"/>
                    </c:ext>
                  </c:extLst>
                </c:dPt>
                <c:dPt>
                  <c:idx val="27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D3-F00B-484F-A684-53B3FEB2CFF0}"/>
                    </c:ext>
                  </c:extLst>
                </c:dPt>
                <c:dPt>
                  <c:idx val="27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D5-F00B-484F-A684-53B3FEB2CFF0}"/>
                    </c:ext>
                  </c:extLst>
                </c:dPt>
                <c:dPt>
                  <c:idx val="27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D7-F00B-484F-A684-53B3FEB2CFF0}"/>
                    </c:ext>
                  </c:extLst>
                </c:dPt>
                <c:dPt>
                  <c:idx val="27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D9-F00B-484F-A684-53B3FEB2CFF0}"/>
                    </c:ext>
                  </c:extLst>
                </c:dPt>
                <c:dPt>
                  <c:idx val="27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DB-F00B-484F-A684-53B3FEB2CFF0}"/>
                    </c:ext>
                  </c:extLst>
                </c:dPt>
                <c:dPt>
                  <c:idx val="27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DD-F00B-484F-A684-53B3FEB2CFF0}"/>
                    </c:ext>
                  </c:extLst>
                </c:dPt>
                <c:dPt>
                  <c:idx val="27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DF-F00B-484F-A684-53B3FEB2CFF0}"/>
                    </c:ext>
                  </c:extLst>
                </c:dPt>
                <c:dPt>
                  <c:idx val="28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E1-F00B-484F-A684-53B3FEB2CFF0}"/>
                    </c:ext>
                  </c:extLst>
                </c:dPt>
                <c:dPt>
                  <c:idx val="28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E3-F00B-484F-A684-53B3FEB2CFF0}"/>
                    </c:ext>
                  </c:extLst>
                </c:dPt>
                <c:dPt>
                  <c:idx val="28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E5-F00B-484F-A684-53B3FEB2CFF0}"/>
                    </c:ext>
                  </c:extLst>
                </c:dPt>
                <c:dPt>
                  <c:idx val="28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E7-F00B-484F-A684-53B3FEB2CFF0}"/>
                    </c:ext>
                  </c:extLst>
                </c:dPt>
                <c:dPt>
                  <c:idx val="28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E9-F00B-484F-A684-53B3FEB2CFF0}"/>
                    </c:ext>
                  </c:extLst>
                </c:dPt>
                <c:dPt>
                  <c:idx val="28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EB-F00B-484F-A684-53B3FEB2CFF0}"/>
                    </c:ext>
                  </c:extLst>
                </c:dPt>
                <c:dPt>
                  <c:idx val="28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ED-F00B-484F-A684-53B3FEB2CFF0}"/>
                    </c:ext>
                  </c:extLst>
                </c:dPt>
                <c:dPt>
                  <c:idx val="28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EF-F00B-484F-A684-53B3FEB2CFF0}"/>
                    </c:ext>
                  </c:extLst>
                </c:dPt>
                <c:dPt>
                  <c:idx val="28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F1-F00B-484F-A684-53B3FEB2CFF0}"/>
                    </c:ext>
                  </c:extLst>
                </c:dPt>
                <c:dPt>
                  <c:idx val="28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F3-F00B-484F-A684-53B3FEB2CFF0}"/>
                    </c:ext>
                  </c:extLst>
                </c:dPt>
                <c:dPt>
                  <c:idx val="29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F5-F00B-484F-A684-53B3FEB2CFF0}"/>
                    </c:ext>
                  </c:extLst>
                </c:dPt>
                <c:dPt>
                  <c:idx val="29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F7-F00B-484F-A684-53B3FEB2CFF0}"/>
                    </c:ext>
                  </c:extLst>
                </c:dPt>
                <c:dPt>
                  <c:idx val="29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F9-F00B-484F-A684-53B3FEB2CFF0}"/>
                    </c:ext>
                  </c:extLst>
                </c:dPt>
                <c:dPt>
                  <c:idx val="29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FB-F00B-484F-A684-53B3FEB2CFF0}"/>
                    </c:ext>
                  </c:extLst>
                </c:dPt>
                <c:dPt>
                  <c:idx val="29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FD-F00B-484F-A684-53B3FEB2CFF0}"/>
                    </c:ext>
                  </c:extLst>
                </c:dPt>
                <c:dPt>
                  <c:idx val="29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FF-F00B-484F-A684-53B3FEB2CFF0}"/>
                    </c:ext>
                  </c:extLst>
                </c:dPt>
                <c:dPt>
                  <c:idx val="29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01-F00B-484F-A684-53B3FEB2CFF0}"/>
                    </c:ext>
                  </c:extLst>
                </c:dPt>
                <c:dPt>
                  <c:idx val="29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03-F00B-484F-A684-53B3FEB2CFF0}"/>
                    </c:ext>
                  </c:extLst>
                </c:dPt>
                <c:dPt>
                  <c:idx val="29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05-F00B-484F-A684-53B3FEB2CFF0}"/>
                    </c:ext>
                  </c:extLst>
                </c:dPt>
                <c:dPt>
                  <c:idx val="29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07-F00B-484F-A684-53B3FEB2CFF0}"/>
                    </c:ext>
                  </c:extLst>
                </c:dPt>
                <c:dPt>
                  <c:idx val="30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09-F00B-484F-A684-53B3FEB2CFF0}"/>
                    </c:ext>
                  </c:extLst>
                </c:dPt>
                <c:dPt>
                  <c:idx val="30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0B-F00B-484F-A684-53B3FEB2CFF0}"/>
                    </c:ext>
                  </c:extLst>
                </c:dPt>
                <c:dPt>
                  <c:idx val="30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0D-F00B-484F-A684-53B3FEB2CFF0}"/>
                    </c:ext>
                  </c:extLst>
                </c:dPt>
                <c:dPt>
                  <c:idx val="30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0F-F00B-484F-A684-53B3FEB2CFF0}"/>
                    </c:ext>
                  </c:extLst>
                </c:dPt>
                <c:dPt>
                  <c:idx val="30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11-F00B-484F-A684-53B3FEB2CFF0}"/>
                    </c:ext>
                  </c:extLst>
                </c:dPt>
                <c:dPt>
                  <c:idx val="30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13-F00B-484F-A684-53B3FEB2CFF0}"/>
                    </c:ext>
                  </c:extLst>
                </c:dPt>
                <c:dPt>
                  <c:idx val="30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15-F00B-484F-A684-53B3FEB2CFF0}"/>
                    </c:ext>
                  </c:extLst>
                </c:dPt>
                <c:dPt>
                  <c:idx val="30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17-F00B-484F-A684-53B3FEB2CFF0}"/>
                    </c:ext>
                  </c:extLst>
                </c:dPt>
                <c:dPt>
                  <c:idx val="30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19-F00B-484F-A684-53B3FEB2CFF0}"/>
                    </c:ext>
                  </c:extLst>
                </c:dPt>
                <c:dPt>
                  <c:idx val="30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1B-F00B-484F-A684-53B3FEB2CFF0}"/>
                    </c:ext>
                  </c:extLst>
                </c:dPt>
                <c:dPt>
                  <c:idx val="31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1D-F00B-484F-A684-53B3FEB2CFF0}"/>
                    </c:ext>
                  </c:extLst>
                </c:dPt>
                <c:dPt>
                  <c:idx val="31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1F-F00B-484F-A684-53B3FEB2CFF0}"/>
                    </c:ext>
                  </c:extLst>
                </c:dPt>
                <c:dPt>
                  <c:idx val="31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21-F00B-484F-A684-53B3FEB2CFF0}"/>
                    </c:ext>
                  </c:extLst>
                </c:dPt>
                <c:dPt>
                  <c:idx val="31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23-F00B-484F-A684-53B3FEB2CFF0}"/>
                    </c:ext>
                  </c:extLst>
                </c:dPt>
                <c:dPt>
                  <c:idx val="31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25-F00B-484F-A684-53B3FEB2CFF0}"/>
                    </c:ext>
                  </c:extLst>
                </c:dPt>
                <c:dPt>
                  <c:idx val="31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27-F00B-484F-A684-53B3FEB2CFF0}"/>
                    </c:ext>
                  </c:extLst>
                </c:dPt>
                <c:dPt>
                  <c:idx val="31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29-F00B-484F-A684-53B3FEB2CFF0}"/>
                    </c:ext>
                  </c:extLst>
                </c:dPt>
                <c:dPt>
                  <c:idx val="31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2B-F00B-484F-A684-53B3FEB2CFF0}"/>
                    </c:ext>
                  </c:extLst>
                </c:dPt>
                <c:dPt>
                  <c:idx val="31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2D-F00B-484F-A684-53B3FEB2CFF0}"/>
                    </c:ext>
                  </c:extLst>
                </c:dPt>
                <c:dPt>
                  <c:idx val="31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2F-F00B-484F-A684-53B3FEB2CFF0}"/>
                    </c:ext>
                  </c:extLst>
                </c:dPt>
                <c:dPt>
                  <c:idx val="32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31-F00B-484F-A684-53B3FEB2CFF0}"/>
                    </c:ext>
                  </c:extLst>
                </c:dPt>
                <c:dPt>
                  <c:idx val="32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33-F00B-484F-A684-53B3FEB2CFF0}"/>
                    </c:ext>
                  </c:extLst>
                </c:dPt>
                <c:dPt>
                  <c:idx val="32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35-F00B-484F-A684-53B3FEB2CFF0}"/>
                    </c:ext>
                  </c:extLst>
                </c:dPt>
                <c:dPt>
                  <c:idx val="32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37-F00B-484F-A684-53B3FEB2CFF0}"/>
                    </c:ext>
                  </c:extLst>
                </c:dPt>
                <c:dPt>
                  <c:idx val="32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39-F00B-484F-A684-53B3FEB2CFF0}"/>
                    </c:ext>
                  </c:extLst>
                </c:dPt>
                <c:dPt>
                  <c:idx val="32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3B-F00B-484F-A684-53B3FEB2CFF0}"/>
                    </c:ext>
                  </c:extLst>
                </c:dPt>
                <c:dPt>
                  <c:idx val="32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3D-F00B-484F-A684-53B3FEB2CFF0}"/>
                    </c:ext>
                  </c:extLst>
                </c:dPt>
                <c:dPt>
                  <c:idx val="32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3F-F00B-484F-A684-53B3FEB2CFF0}"/>
                    </c:ext>
                  </c:extLst>
                </c:dPt>
                <c:dPt>
                  <c:idx val="32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41-F00B-484F-A684-53B3FEB2CFF0}"/>
                    </c:ext>
                  </c:extLst>
                </c:dPt>
                <c:dPt>
                  <c:idx val="32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43-F00B-484F-A684-53B3FEB2CFF0}"/>
                    </c:ext>
                  </c:extLst>
                </c:dPt>
                <c:dPt>
                  <c:idx val="33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45-F00B-484F-A684-53B3FEB2CFF0}"/>
                    </c:ext>
                  </c:extLst>
                </c:dPt>
                <c:dPt>
                  <c:idx val="33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47-F00B-484F-A684-53B3FEB2CFF0}"/>
                    </c:ext>
                  </c:extLst>
                </c:dPt>
                <c:dPt>
                  <c:idx val="33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49-F00B-484F-A684-53B3FEB2CFF0}"/>
                    </c:ext>
                  </c:extLst>
                </c:dPt>
                <c:dPt>
                  <c:idx val="33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4B-F00B-484F-A684-53B3FEB2CFF0}"/>
                    </c:ext>
                  </c:extLst>
                </c:dPt>
                <c:dPt>
                  <c:idx val="33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4D-F00B-484F-A684-53B3FEB2CFF0}"/>
                    </c:ext>
                  </c:extLst>
                </c:dPt>
                <c:dPt>
                  <c:idx val="33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4F-F00B-484F-A684-53B3FEB2CFF0}"/>
                    </c:ext>
                  </c:extLst>
                </c:dPt>
                <c:dPt>
                  <c:idx val="33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51-F00B-484F-A684-53B3FEB2CFF0}"/>
                    </c:ext>
                  </c:extLst>
                </c:dPt>
                <c:dPt>
                  <c:idx val="33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53-F00B-484F-A684-53B3FEB2CFF0}"/>
                    </c:ext>
                  </c:extLst>
                </c:dPt>
                <c:dPt>
                  <c:idx val="33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55-F00B-484F-A684-53B3FEB2CFF0}"/>
                    </c:ext>
                  </c:extLst>
                </c:dPt>
                <c:dPt>
                  <c:idx val="33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57-F00B-484F-A684-53B3FEB2CFF0}"/>
                    </c:ext>
                  </c:extLst>
                </c:dPt>
                <c:dPt>
                  <c:idx val="34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59-F00B-484F-A684-53B3FEB2CFF0}"/>
                    </c:ext>
                  </c:extLst>
                </c:dPt>
                <c:dPt>
                  <c:idx val="34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5B-F00B-484F-A684-53B3FEB2CFF0}"/>
                    </c:ext>
                  </c:extLst>
                </c:dPt>
                <c:dPt>
                  <c:idx val="34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5D-F00B-484F-A684-53B3FEB2CFF0}"/>
                    </c:ext>
                  </c:extLst>
                </c:dPt>
                <c:dPt>
                  <c:idx val="34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5F-F00B-484F-A684-53B3FEB2CFF0}"/>
                    </c:ext>
                  </c:extLst>
                </c:dPt>
                <c:dPt>
                  <c:idx val="34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61-F00B-484F-A684-53B3FEB2CFF0}"/>
                    </c:ext>
                  </c:extLst>
                </c:dPt>
                <c:dPt>
                  <c:idx val="34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63-F00B-484F-A684-53B3FEB2CFF0}"/>
                    </c:ext>
                  </c:extLst>
                </c:dPt>
                <c:dPt>
                  <c:idx val="34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65-F00B-484F-A684-53B3FEB2CFF0}"/>
                    </c:ext>
                  </c:extLst>
                </c:dPt>
                <c:dPt>
                  <c:idx val="34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67-F00B-484F-A684-53B3FEB2CFF0}"/>
                    </c:ext>
                  </c:extLst>
                </c:dPt>
                <c:dPt>
                  <c:idx val="34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69-F00B-484F-A684-53B3FEB2CFF0}"/>
                    </c:ext>
                  </c:extLst>
                </c:dPt>
                <c:dPt>
                  <c:idx val="34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6B-F00B-484F-A684-53B3FEB2CFF0}"/>
                    </c:ext>
                  </c:extLst>
                </c:dPt>
                <c:dPt>
                  <c:idx val="35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6D-F00B-484F-A684-53B3FEB2CFF0}"/>
                    </c:ext>
                  </c:extLst>
                </c:dPt>
                <c:dPt>
                  <c:idx val="35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6F-F00B-484F-A684-53B3FEB2CFF0}"/>
                    </c:ext>
                  </c:extLst>
                </c:dPt>
                <c:dPt>
                  <c:idx val="35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71-F00B-484F-A684-53B3FEB2CFF0}"/>
                    </c:ext>
                  </c:extLst>
                </c:dPt>
                <c:dPt>
                  <c:idx val="35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73-F00B-484F-A684-53B3FEB2CFF0}"/>
                    </c:ext>
                  </c:extLst>
                </c:dPt>
                <c:dPt>
                  <c:idx val="35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75-F00B-484F-A684-53B3FEB2CFF0}"/>
                    </c:ext>
                  </c:extLst>
                </c:dPt>
                <c:dPt>
                  <c:idx val="35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77-F00B-484F-A684-53B3FEB2CFF0}"/>
                    </c:ext>
                  </c:extLst>
                </c:dPt>
                <c:dPt>
                  <c:idx val="35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79-F00B-484F-A684-53B3FEB2CFF0}"/>
                    </c:ext>
                  </c:extLst>
                </c:dPt>
                <c:dPt>
                  <c:idx val="35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7B-F00B-484F-A684-53B3FEB2CFF0}"/>
                    </c:ext>
                  </c:extLst>
                </c:dPt>
                <c:dPt>
                  <c:idx val="35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7D-F00B-484F-A684-53B3FEB2CFF0}"/>
                    </c:ext>
                  </c:extLst>
                </c:dPt>
                <c:dPt>
                  <c:idx val="35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7F-F00B-484F-A684-53B3FEB2CFF0}"/>
                    </c:ext>
                  </c:extLst>
                </c:dPt>
                <c:dPt>
                  <c:idx val="36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81-F00B-484F-A684-53B3FEB2CFF0}"/>
                    </c:ext>
                  </c:extLst>
                </c:dPt>
                <c:dPt>
                  <c:idx val="36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83-F00B-484F-A684-53B3FEB2CFF0}"/>
                    </c:ext>
                  </c:extLst>
                </c:dPt>
                <c:dPt>
                  <c:idx val="36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85-F00B-484F-A684-53B3FEB2CFF0}"/>
                    </c:ext>
                  </c:extLst>
                </c:dPt>
                <c:dPt>
                  <c:idx val="36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87-F00B-484F-A684-53B3FEB2CFF0}"/>
                    </c:ext>
                  </c:extLst>
                </c:dPt>
                <c:dPt>
                  <c:idx val="36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89-F00B-484F-A684-53B3FEB2CFF0}"/>
                    </c:ext>
                  </c:extLst>
                </c:dPt>
                <c:dPt>
                  <c:idx val="36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8B-F00B-484F-A684-53B3FEB2CFF0}"/>
                    </c:ext>
                  </c:extLst>
                </c:dPt>
                <c:dPt>
                  <c:idx val="36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8D-F00B-484F-A684-53B3FEB2CFF0}"/>
                    </c:ext>
                  </c:extLst>
                </c:dPt>
                <c:dPt>
                  <c:idx val="36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8F-F00B-484F-A684-53B3FEB2CFF0}"/>
                    </c:ext>
                  </c:extLst>
                </c:dPt>
                <c:dPt>
                  <c:idx val="36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91-F00B-484F-A684-53B3FEB2CFF0}"/>
                    </c:ext>
                  </c:extLst>
                </c:dPt>
                <c:dPt>
                  <c:idx val="36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93-F00B-484F-A684-53B3FEB2CFF0}"/>
                    </c:ext>
                  </c:extLst>
                </c:dPt>
                <c:dPt>
                  <c:idx val="37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95-F00B-484F-A684-53B3FEB2CFF0}"/>
                    </c:ext>
                  </c:extLst>
                </c:dPt>
                <c:dPt>
                  <c:idx val="37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97-F00B-484F-A684-53B3FEB2CFF0}"/>
                    </c:ext>
                  </c:extLst>
                </c:dPt>
                <c:dPt>
                  <c:idx val="37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99-F00B-484F-A684-53B3FEB2CFF0}"/>
                    </c:ext>
                  </c:extLst>
                </c:dPt>
                <c:dPt>
                  <c:idx val="37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9B-F00B-484F-A684-53B3FEB2CFF0}"/>
                    </c:ext>
                  </c:extLst>
                </c:dPt>
                <c:dPt>
                  <c:idx val="37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9D-F00B-484F-A684-53B3FEB2CFF0}"/>
                    </c:ext>
                  </c:extLst>
                </c:dPt>
                <c:dPt>
                  <c:idx val="37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9F-F00B-484F-A684-53B3FEB2CFF0}"/>
                    </c:ext>
                  </c:extLst>
                </c:dPt>
                <c:dPt>
                  <c:idx val="37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A1-F00B-484F-A684-53B3FEB2CFF0}"/>
                    </c:ext>
                  </c:extLst>
                </c:dPt>
                <c:dPt>
                  <c:idx val="37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A3-F00B-484F-A684-53B3FEB2CFF0}"/>
                    </c:ext>
                  </c:extLst>
                </c:dPt>
                <c:dPt>
                  <c:idx val="37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A5-F00B-484F-A684-53B3FEB2CFF0}"/>
                    </c:ext>
                  </c:extLst>
                </c:dPt>
                <c:dPt>
                  <c:idx val="37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A7-F00B-484F-A684-53B3FEB2CFF0}"/>
                    </c:ext>
                  </c:extLst>
                </c:dPt>
                <c:dPt>
                  <c:idx val="38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A9-F00B-484F-A684-53B3FEB2CFF0}"/>
                    </c:ext>
                  </c:extLst>
                </c:dPt>
                <c:dPt>
                  <c:idx val="38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AB-F00B-484F-A684-53B3FEB2CFF0}"/>
                    </c:ext>
                  </c:extLst>
                </c:dPt>
                <c:dPt>
                  <c:idx val="38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AD-F00B-484F-A684-53B3FEB2CFF0}"/>
                    </c:ext>
                  </c:extLst>
                </c:dPt>
                <c:dPt>
                  <c:idx val="38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AF-F00B-484F-A684-53B3FEB2CFF0}"/>
                    </c:ext>
                  </c:extLst>
                </c:dPt>
                <c:dPt>
                  <c:idx val="38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B1-F00B-484F-A684-53B3FEB2CFF0}"/>
                    </c:ext>
                  </c:extLst>
                </c:dPt>
                <c:dPt>
                  <c:idx val="38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B3-F00B-484F-A684-53B3FEB2CFF0}"/>
                    </c:ext>
                  </c:extLst>
                </c:dPt>
                <c:dPt>
                  <c:idx val="38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B5-F00B-484F-A684-53B3FEB2CFF0}"/>
                    </c:ext>
                  </c:extLst>
                </c:dPt>
                <c:dPt>
                  <c:idx val="38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B7-F00B-484F-A684-53B3FEB2CFF0}"/>
                    </c:ext>
                  </c:extLst>
                </c:dPt>
                <c:dPt>
                  <c:idx val="38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B9-F00B-484F-A684-53B3FEB2CFF0}"/>
                    </c:ext>
                  </c:extLst>
                </c:dPt>
                <c:dPt>
                  <c:idx val="38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BB-F00B-484F-A684-53B3FEB2CFF0}"/>
                    </c:ext>
                  </c:extLst>
                </c:dPt>
                <c:dPt>
                  <c:idx val="39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BD-F00B-484F-A684-53B3FEB2CFF0}"/>
                    </c:ext>
                  </c:extLst>
                </c:dPt>
                <c:dPt>
                  <c:idx val="39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BF-F00B-484F-A684-53B3FEB2CFF0}"/>
                    </c:ext>
                  </c:extLst>
                </c:dPt>
                <c:dPt>
                  <c:idx val="39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C1-F00B-484F-A684-53B3FEB2CFF0}"/>
                    </c:ext>
                  </c:extLst>
                </c:dPt>
                <c:dPt>
                  <c:idx val="39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C3-F00B-484F-A684-53B3FEB2CFF0}"/>
                    </c:ext>
                  </c:extLst>
                </c:dPt>
                <c:dPt>
                  <c:idx val="39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C5-F00B-484F-A684-53B3FEB2CFF0}"/>
                    </c:ext>
                  </c:extLst>
                </c:dPt>
                <c:dPt>
                  <c:idx val="39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C7-F00B-484F-A684-53B3FEB2CFF0}"/>
                    </c:ext>
                  </c:extLst>
                </c:dPt>
                <c:dPt>
                  <c:idx val="39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C9-F00B-484F-A684-53B3FEB2CFF0}"/>
                    </c:ext>
                  </c:extLst>
                </c:dPt>
                <c:dPt>
                  <c:idx val="39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CB-F00B-484F-A684-53B3FEB2CFF0}"/>
                    </c:ext>
                  </c:extLst>
                </c:dPt>
                <c:dPt>
                  <c:idx val="39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CD-F00B-484F-A684-53B3FEB2CFF0}"/>
                    </c:ext>
                  </c:extLst>
                </c:dPt>
                <c:dPt>
                  <c:idx val="39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CF-F00B-484F-A684-53B3FEB2CFF0}"/>
                    </c:ext>
                  </c:extLst>
                </c:dPt>
                <c:dPt>
                  <c:idx val="40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D1-F00B-484F-A684-53B3FEB2CFF0}"/>
                    </c:ext>
                  </c:extLst>
                </c:dPt>
                <c:dPt>
                  <c:idx val="40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D3-F00B-484F-A684-53B3FEB2CFF0}"/>
                    </c:ext>
                  </c:extLst>
                </c:dPt>
                <c:dPt>
                  <c:idx val="40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D5-F00B-484F-A684-53B3FEB2CFF0}"/>
                    </c:ext>
                  </c:extLst>
                </c:dPt>
                <c:dPt>
                  <c:idx val="40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D7-F00B-484F-A684-53B3FEB2CFF0}"/>
                    </c:ext>
                  </c:extLst>
                </c:dPt>
                <c:dPt>
                  <c:idx val="40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D9-F00B-484F-A684-53B3FEB2CFF0}"/>
                    </c:ext>
                  </c:extLst>
                </c:dPt>
                <c:dPt>
                  <c:idx val="40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DB-F00B-484F-A684-53B3FEB2CFF0}"/>
                    </c:ext>
                  </c:extLst>
                </c:dPt>
                <c:dPt>
                  <c:idx val="40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DD-F00B-484F-A684-53B3FEB2CFF0}"/>
                    </c:ext>
                  </c:extLst>
                </c:dPt>
                <c:dPt>
                  <c:idx val="40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DF-F00B-484F-A684-53B3FEB2CFF0}"/>
                    </c:ext>
                  </c:extLst>
                </c:dPt>
                <c:dPt>
                  <c:idx val="40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E1-F00B-484F-A684-53B3FEB2CFF0}"/>
                    </c:ext>
                  </c:extLst>
                </c:dPt>
                <c:dPt>
                  <c:idx val="40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E3-F00B-484F-A684-53B3FEB2CFF0}"/>
                    </c:ext>
                  </c:extLst>
                </c:dPt>
                <c:dPt>
                  <c:idx val="41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E5-F00B-484F-A684-53B3FEB2CFF0}"/>
                    </c:ext>
                  </c:extLst>
                </c:dPt>
                <c:dPt>
                  <c:idx val="41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E7-F00B-484F-A684-53B3FEB2CFF0}"/>
                    </c:ext>
                  </c:extLst>
                </c:dPt>
                <c:dPt>
                  <c:idx val="41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E9-F00B-484F-A684-53B3FEB2CFF0}"/>
                    </c:ext>
                  </c:extLst>
                </c:dPt>
                <c:dPt>
                  <c:idx val="41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EB-F00B-484F-A684-53B3FEB2CFF0}"/>
                    </c:ext>
                  </c:extLst>
                </c:dPt>
                <c:dPt>
                  <c:idx val="41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ED-F00B-484F-A684-53B3FEB2CFF0}"/>
                    </c:ext>
                  </c:extLst>
                </c:dPt>
                <c:dPt>
                  <c:idx val="41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EF-F00B-484F-A684-53B3FEB2CFF0}"/>
                    </c:ext>
                  </c:extLst>
                </c:dPt>
                <c:dPt>
                  <c:idx val="41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F1-F00B-484F-A684-53B3FEB2CFF0}"/>
                    </c:ext>
                  </c:extLst>
                </c:dPt>
                <c:dPt>
                  <c:idx val="41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F3-F00B-484F-A684-53B3FEB2CFF0}"/>
                    </c:ext>
                  </c:extLst>
                </c:dPt>
                <c:dPt>
                  <c:idx val="41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F5-F00B-484F-A684-53B3FEB2CFF0}"/>
                    </c:ext>
                  </c:extLst>
                </c:dPt>
                <c:dPt>
                  <c:idx val="41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F7-F00B-484F-A684-53B3FEB2CFF0}"/>
                    </c:ext>
                  </c:extLst>
                </c:dPt>
                <c:dPt>
                  <c:idx val="42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F9-F00B-484F-A684-53B3FEB2CFF0}"/>
                    </c:ext>
                  </c:extLst>
                </c:dPt>
                <c:dPt>
                  <c:idx val="42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FB-F00B-484F-A684-53B3FEB2CFF0}"/>
                    </c:ext>
                  </c:extLst>
                </c:dPt>
                <c:dPt>
                  <c:idx val="42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FD-F00B-484F-A684-53B3FEB2CFF0}"/>
                    </c:ext>
                  </c:extLst>
                </c:dPt>
                <c:dPt>
                  <c:idx val="42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FF-F00B-484F-A684-53B3FEB2CFF0}"/>
                    </c:ext>
                  </c:extLst>
                </c:dPt>
                <c:dPt>
                  <c:idx val="42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01-F00B-484F-A684-53B3FEB2CFF0}"/>
                    </c:ext>
                  </c:extLst>
                </c:dPt>
                <c:dPt>
                  <c:idx val="42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03-F00B-484F-A684-53B3FEB2CFF0}"/>
                    </c:ext>
                  </c:extLst>
                </c:dPt>
                <c:dPt>
                  <c:idx val="42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05-F00B-484F-A684-53B3FEB2CFF0}"/>
                    </c:ext>
                  </c:extLst>
                </c:dPt>
                <c:dPt>
                  <c:idx val="42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07-F00B-484F-A684-53B3FEB2CFF0}"/>
                    </c:ext>
                  </c:extLst>
                </c:dPt>
                <c:dPt>
                  <c:idx val="42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09-F00B-484F-A684-53B3FEB2CFF0}"/>
                    </c:ext>
                  </c:extLst>
                </c:dPt>
                <c:dPt>
                  <c:idx val="42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0B-F00B-484F-A684-53B3FEB2CFF0}"/>
                    </c:ext>
                  </c:extLst>
                </c:dPt>
                <c:dPt>
                  <c:idx val="43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0D-F00B-484F-A684-53B3FEB2CFF0}"/>
                    </c:ext>
                  </c:extLst>
                </c:dPt>
                <c:dPt>
                  <c:idx val="43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0F-F00B-484F-A684-53B3FEB2CFF0}"/>
                    </c:ext>
                  </c:extLst>
                </c:dPt>
                <c:dPt>
                  <c:idx val="43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11-F00B-484F-A684-53B3FEB2CFF0}"/>
                    </c:ext>
                  </c:extLst>
                </c:dPt>
                <c:dPt>
                  <c:idx val="43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13-F00B-484F-A684-53B3FEB2CFF0}"/>
                    </c:ext>
                  </c:extLst>
                </c:dPt>
                <c:dPt>
                  <c:idx val="43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15-F00B-484F-A684-53B3FEB2CFF0}"/>
                    </c:ext>
                  </c:extLst>
                </c:dPt>
                <c:dPt>
                  <c:idx val="43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17-F00B-484F-A684-53B3FEB2CFF0}"/>
                    </c:ext>
                  </c:extLst>
                </c:dPt>
                <c:dPt>
                  <c:idx val="43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19-F00B-484F-A684-53B3FEB2CFF0}"/>
                    </c:ext>
                  </c:extLst>
                </c:dPt>
                <c:dPt>
                  <c:idx val="43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1B-F00B-484F-A684-53B3FEB2CFF0}"/>
                    </c:ext>
                  </c:extLst>
                </c:dPt>
                <c:dPt>
                  <c:idx val="43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1D-F00B-484F-A684-53B3FEB2CFF0}"/>
                    </c:ext>
                  </c:extLst>
                </c:dPt>
                <c:dPt>
                  <c:idx val="43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1F-F00B-484F-A684-53B3FEB2CFF0}"/>
                    </c:ext>
                  </c:extLst>
                </c:dPt>
                <c:dPt>
                  <c:idx val="44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21-F00B-484F-A684-53B3FEB2CFF0}"/>
                    </c:ext>
                  </c:extLst>
                </c:dPt>
                <c:dPt>
                  <c:idx val="44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23-F00B-484F-A684-53B3FEB2CFF0}"/>
                    </c:ext>
                  </c:extLst>
                </c:dPt>
                <c:dPt>
                  <c:idx val="44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25-F00B-484F-A684-53B3FEB2CFF0}"/>
                    </c:ext>
                  </c:extLst>
                </c:dPt>
                <c:dPt>
                  <c:idx val="44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27-F00B-484F-A684-53B3FEB2CFF0}"/>
                    </c:ext>
                  </c:extLst>
                </c:dPt>
                <c:dPt>
                  <c:idx val="44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29-F00B-484F-A684-53B3FEB2CFF0}"/>
                    </c:ext>
                  </c:extLst>
                </c:dPt>
                <c:dPt>
                  <c:idx val="44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2B-F00B-484F-A684-53B3FEB2CFF0}"/>
                    </c:ext>
                  </c:extLst>
                </c:dPt>
                <c:dPt>
                  <c:idx val="44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2D-F00B-484F-A684-53B3FEB2CFF0}"/>
                    </c:ext>
                  </c:extLst>
                </c:dPt>
                <c:dPt>
                  <c:idx val="44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2F-F00B-484F-A684-53B3FEB2CFF0}"/>
                    </c:ext>
                  </c:extLst>
                </c:dPt>
                <c:dPt>
                  <c:idx val="44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31-F00B-484F-A684-53B3FEB2CFF0}"/>
                    </c:ext>
                  </c:extLst>
                </c:dPt>
                <c:dPt>
                  <c:idx val="44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33-F00B-484F-A684-53B3FEB2CFF0}"/>
                    </c:ext>
                  </c:extLst>
                </c:dPt>
                <c:dPt>
                  <c:idx val="45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35-F00B-484F-A684-53B3FEB2CFF0}"/>
                    </c:ext>
                  </c:extLst>
                </c:dPt>
                <c:dPt>
                  <c:idx val="45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37-F00B-484F-A684-53B3FEB2CFF0}"/>
                    </c:ext>
                  </c:extLst>
                </c:dPt>
                <c:dPt>
                  <c:idx val="45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39-F00B-484F-A684-53B3FEB2CFF0}"/>
                    </c:ext>
                  </c:extLst>
                </c:dPt>
                <c:dPt>
                  <c:idx val="45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3B-F00B-484F-A684-53B3FEB2CFF0}"/>
                    </c:ext>
                  </c:extLst>
                </c:dPt>
                <c:dPt>
                  <c:idx val="45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3D-F00B-484F-A684-53B3FEB2CFF0}"/>
                    </c:ext>
                  </c:extLst>
                </c:dPt>
                <c:dPt>
                  <c:idx val="45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3F-F00B-484F-A684-53B3FEB2CFF0}"/>
                    </c:ext>
                  </c:extLst>
                </c:dPt>
                <c:dPt>
                  <c:idx val="45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41-F00B-484F-A684-53B3FEB2CFF0}"/>
                    </c:ext>
                  </c:extLst>
                </c:dPt>
                <c:dPt>
                  <c:idx val="45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43-F00B-484F-A684-53B3FEB2CFF0}"/>
                    </c:ext>
                  </c:extLst>
                </c:dPt>
                <c:dPt>
                  <c:idx val="45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45-F00B-484F-A684-53B3FEB2CFF0}"/>
                    </c:ext>
                  </c:extLst>
                </c:dPt>
                <c:dPt>
                  <c:idx val="45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47-F00B-484F-A684-53B3FEB2CFF0}"/>
                    </c:ext>
                  </c:extLst>
                </c:dPt>
                <c:dPt>
                  <c:idx val="46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49-F00B-484F-A684-53B3FEB2CFF0}"/>
                    </c:ext>
                  </c:extLst>
                </c:dPt>
                <c:dPt>
                  <c:idx val="46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4B-F00B-484F-A684-53B3FEB2CFF0}"/>
                    </c:ext>
                  </c:extLst>
                </c:dPt>
                <c:dPt>
                  <c:idx val="46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4D-F00B-484F-A684-53B3FEB2CFF0}"/>
                    </c:ext>
                  </c:extLst>
                </c:dPt>
                <c:dPt>
                  <c:idx val="46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4F-F00B-484F-A684-53B3FEB2CFF0}"/>
                    </c:ext>
                  </c:extLst>
                </c:dPt>
                <c:dPt>
                  <c:idx val="46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51-F00B-484F-A684-53B3FEB2CFF0}"/>
                    </c:ext>
                  </c:extLst>
                </c:dPt>
                <c:dPt>
                  <c:idx val="46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53-F00B-484F-A684-53B3FEB2CFF0}"/>
                    </c:ext>
                  </c:extLst>
                </c:dPt>
                <c:dPt>
                  <c:idx val="46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55-F00B-484F-A684-53B3FEB2CFF0}"/>
                    </c:ext>
                  </c:extLst>
                </c:dPt>
                <c:dPt>
                  <c:idx val="46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57-F00B-484F-A684-53B3FEB2CFF0}"/>
                    </c:ext>
                  </c:extLst>
                </c:dPt>
                <c:dPt>
                  <c:idx val="46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59-F00B-484F-A684-53B3FEB2CFF0}"/>
                    </c:ext>
                  </c:extLst>
                </c:dPt>
                <c:dPt>
                  <c:idx val="46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5B-F00B-484F-A684-53B3FEB2CFF0}"/>
                    </c:ext>
                  </c:extLst>
                </c:dPt>
                <c:dPt>
                  <c:idx val="47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5D-F00B-484F-A684-53B3FEB2CFF0}"/>
                    </c:ext>
                  </c:extLst>
                </c:dPt>
                <c:dPt>
                  <c:idx val="47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5F-F00B-484F-A684-53B3FEB2CFF0}"/>
                    </c:ext>
                  </c:extLst>
                </c:dPt>
                <c:dPt>
                  <c:idx val="47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61-F00B-484F-A684-53B3FEB2CFF0}"/>
                    </c:ext>
                  </c:extLst>
                </c:dPt>
                <c:dPt>
                  <c:idx val="47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63-F00B-484F-A684-53B3FEB2CFF0}"/>
                    </c:ext>
                  </c:extLst>
                </c:dPt>
                <c:dPt>
                  <c:idx val="47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65-F00B-484F-A684-53B3FEB2CFF0}"/>
                    </c:ext>
                  </c:extLst>
                </c:dPt>
                <c:dPt>
                  <c:idx val="47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67-F00B-484F-A684-53B3FEB2CFF0}"/>
                    </c:ext>
                  </c:extLst>
                </c:dPt>
                <c:dPt>
                  <c:idx val="47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69-F00B-484F-A684-53B3FEB2CFF0}"/>
                    </c:ext>
                  </c:extLst>
                </c:dPt>
                <c:dPt>
                  <c:idx val="47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6B-F00B-484F-A684-53B3FEB2CFF0}"/>
                    </c:ext>
                  </c:extLst>
                </c:dPt>
                <c:dPt>
                  <c:idx val="47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6D-F00B-484F-A684-53B3FEB2CFF0}"/>
                    </c:ext>
                  </c:extLst>
                </c:dPt>
                <c:dPt>
                  <c:idx val="47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6F-F00B-484F-A684-53B3FEB2CFF0}"/>
                    </c:ext>
                  </c:extLst>
                </c:dPt>
                <c:dPt>
                  <c:idx val="48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71-F00B-484F-A684-53B3FEB2CFF0}"/>
                    </c:ext>
                  </c:extLst>
                </c:dPt>
                <c:dPt>
                  <c:idx val="48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73-F00B-484F-A684-53B3FEB2CFF0}"/>
                    </c:ext>
                  </c:extLst>
                </c:dPt>
                <c:dPt>
                  <c:idx val="48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75-F00B-484F-A684-53B3FEB2CFF0}"/>
                    </c:ext>
                  </c:extLst>
                </c:dPt>
                <c:dPt>
                  <c:idx val="48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77-F00B-484F-A684-53B3FEB2CFF0}"/>
                    </c:ext>
                  </c:extLst>
                </c:dPt>
                <c:dPt>
                  <c:idx val="48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79-F00B-484F-A684-53B3FEB2CFF0}"/>
                    </c:ext>
                  </c:extLst>
                </c:dPt>
                <c:dPt>
                  <c:idx val="48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7B-F00B-484F-A684-53B3FEB2CFF0}"/>
                    </c:ext>
                  </c:extLst>
                </c:dPt>
                <c:dPt>
                  <c:idx val="48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7D-F00B-484F-A684-53B3FEB2CFF0}"/>
                    </c:ext>
                  </c:extLst>
                </c:dPt>
                <c:dPt>
                  <c:idx val="48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7F-F00B-484F-A684-53B3FEB2CFF0}"/>
                    </c:ext>
                  </c:extLst>
                </c:dPt>
                <c:dPt>
                  <c:idx val="48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81-F00B-484F-A684-53B3FEB2CFF0}"/>
                    </c:ext>
                  </c:extLst>
                </c:dPt>
                <c:dPt>
                  <c:idx val="48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83-F00B-484F-A684-53B3FEB2CFF0}"/>
                    </c:ext>
                  </c:extLst>
                </c:dPt>
                <c:dPt>
                  <c:idx val="49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85-F00B-484F-A684-53B3FEB2CFF0}"/>
                    </c:ext>
                  </c:extLst>
                </c:dPt>
                <c:dPt>
                  <c:idx val="49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87-F00B-484F-A684-53B3FEB2CFF0}"/>
                    </c:ext>
                  </c:extLst>
                </c:dPt>
                <c:dPt>
                  <c:idx val="49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89-F00B-484F-A684-53B3FEB2CFF0}"/>
                    </c:ext>
                  </c:extLst>
                </c:dPt>
                <c:dPt>
                  <c:idx val="49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8B-F00B-484F-A684-53B3FEB2CFF0}"/>
                    </c:ext>
                  </c:extLst>
                </c:dPt>
                <c:dPt>
                  <c:idx val="49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8D-F00B-484F-A684-53B3FEB2CFF0}"/>
                    </c:ext>
                  </c:extLst>
                </c:dPt>
                <c:dPt>
                  <c:idx val="49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8F-F00B-484F-A684-53B3FEB2CFF0}"/>
                    </c:ext>
                  </c:extLst>
                </c:dPt>
                <c:dPt>
                  <c:idx val="49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91-F00B-484F-A684-53B3FEB2CFF0}"/>
                    </c:ext>
                  </c:extLst>
                </c:dPt>
                <c:dPt>
                  <c:idx val="49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93-F00B-484F-A684-53B3FEB2CFF0}"/>
                    </c:ext>
                  </c:extLst>
                </c:dPt>
                <c:dPt>
                  <c:idx val="49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95-F00B-484F-A684-53B3FEB2CFF0}"/>
                    </c:ext>
                  </c:extLst>
                </c:dPt>
                <c:dPt>
                  <c:idx val="49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97-F00B-484F-A684-53B3FEB2CFF0}"/>
                    </c:ext>
                  </c:extLst>
                </c:dPt>
                <c:dPt>
                  <c:idx val="50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99-F00B-484F-A684-53B3FEB2CFF0}"/>
                    </c:ext>
                  </c:extLst>
                </c:dPt>
                <c:dPt>
                  <c:idx val="50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9B-F00B-484F-A684-53B3FEB2CFF0}"/>
                    </c:ext>
                  </c:extLst>
                </c:dPt>
                <c:dPt>
                  <c:idx val="50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9D-F00B-484F-A684-53B3FEB2CFF0}"/>
                    </c:ext>
                  </c:extLst>
                </c:dPt>
                <c:dPt>
                  <c:idx val="50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9F-F00B-484F-A684-53B3FEB2CFF0}"/>
                    </c:ext>
                  </c:extLst>
                </c:dPt>
                <c:dPt>
                  <c:idx val="50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A1-F00B-484F-A684-53B3FEB2CFF0}"/>
                    </c:ext>
                  </c:extLst>
                </c:dPt>
                <c:dPt>
                  <c:idx val="50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A3-F00B-484F-A684-53B3FEB2CFF0}"/>
                    </c:ext>
                  </c:extLst>
                </c:dPt>
                <c:dPt>
                  <c:idx val="50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A5-F00B-484F-A684-53B3FEB2CFF0}"/>
                    </c:ext>
                  </c:extLst>
                </c:dPt>
                <c:dPt>
                  <c:idx val="50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A7-F00B-484F-A684-53B3FEB2CFF0}"/>
                    </c:ext>
                  </c:extLst>
                </c:dPt>
                <c:dPt>
                  <c:idx val="50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A9-F00B-484F-A684-53B3FEB2CFF0}"/>
                    </c:ext>
                  </c:extLst>
                </c:dPt>
                <c:dPt>
                  <c:idx val="50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AB-F00B-484F-A684-53B3FEB2CFF0}"/>
                    </c:ext>
                  </c:extLst>
                </c:dPt>
                <c:dPt>
                  <c:idx val="51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AD-F00B-484F-A684-53B3FEB2CFF0}"/>
                    </c:ext>
                  </c:extLst>
                </c:dPt>
                <c:dPt>
                  <c:idx val="51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AF-F00B-484F-A684-53B3FEB2CFF0}"/>
                    </c:ext>
                  </c:extLst>
                </c:dPt>
                <c:dPt>
                  <c:idx val="51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B1-F00B-484F-A684-53B3FEB2CFF0}"/>
                    </c:ext>
                  </c:extLst>
                </c:dPt>
                <c:dPt>
                  <c:idx val="51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B3-F00B-484F-A684-53B3FEB2CFF0}"/>
                    </c:ext>
                  </c:extLst>
                </c:dPt>
                <c:dPt>
                  <c:idx val="51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B5-F00B-484F-A684-53B3FEB2CFF0}"/>
                    </c:ext>
                  </c:extLst>
                </c:dPt>
                <c:dPt>
                  <c:idx val="51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B7-F00B-484F-A684-53B3FEB2CFF0}"/>
                    </c:ext>
                  </c:extLst>
                </c:dPt>
                <c:dPt>
                  <c:idx val="51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B9-F00B-484F-A684-53B3FEB2CFF0}"/>
                    </c:ext>
                  </c:extLst>
                </c:dPt>
                <c:dPt>
                  <c:idx val="51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BB-F00B-484F-A684-53B3FEB2CFF0}"/>
                    </c:ext>
                  </c:extLst>
                </c:dPt>
                <c:dPt>
                  <c:idx val="51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BD-F00B-484F-A684-53B3FEB2CFF0}"/>
                    </c:ext>
                  </c:extLst>
                </c:dPt>
                <c:dPt>
                  <c:idx val="51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BF-F00B-484F-A684-53B3FEB2CFF0}"/>
                    </c:ext>
                  </c:extLst>
                </c:dPt>
                <c:dPt>
                  <c:idx val="52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C1-F00B-484F-A684-53B3FEB2CFF0}"/>
                    </c:ext>
                  </c:extLst>
                </c:dPt>
                <c:dPt>
                  <c:idx val="52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C3-F00B-484F-A684-53B3FEB2CFF0}"/>
                    </c:ext>
                  </c:extLst>
                </c:dPt>
                <c:dPt>
                  <c:idx val="52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C5-F00B-484F-A684-53B3FEB2CFF0}"/>
                    </c:ext>
                  </c:extLst>
                </c:dPt>
                <c:dPt>
                  <c:idx val="52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C7-F00B-484F-A684-53B3FEB2CFF0}"/>
                    </c:ext>
                  </c:extLst>
                </c:dPt>
                <c:dPt>
                  <c:idx val="52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C9-F00B-484F-A684-53B3FEB2CFF0}"/>
                    </c:ext>
                  </c:extLst>
                </c:dPt>
                <c:dPt>
                  <c:idx val="52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CB-F00B-484F-A684-53B3FEB2CFF0}"/>
                    </c:ext>
                  </c:extLst>
                </c:dPt>
                <c:dPt>
                  <c:idx val="52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CD-F00B-484F-A684-53B3FEB2CFF0}"/>
                    </c:ext>
                  </c:extLst>
                </c:dPt>
                <c:dPt>
                  <c:idx val="52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CF-F00B-484F-A684-53B3FEB2CFF0}"/>
                    </c:ext>
                  </c:extLst>
                </c:dPt>
                <c:dPt>
                  <c:idx val="52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D1-F00B-484F-A684-53B3FEB2CFF0}"/>
                    </c:ext>
                  </c:extLst>
                </c:dPt>
                <c:dPt>
                  <c:idx val="52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D3-F00B-484F-A684-53B3FEB2CFF0}"/>
                    </c:ext>
                  </c:extLst>
                </c:dPt>
                <c:dPt>
                  <c:idx val="53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D5-F00B-484F-A684-53B3FEB2CFF0}"/>
                    </c:ext>
                  </c:extLst>
                </c:dPt>
                <c:dPt>
                  <c:idx val="53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D7-F00B-484F-A684-53B3FEB2CFF0}"/>
                    </c:ext>
                  </c:extLst>
                </c:dPt>
                <c:dPt>
                  <c:idx val="53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D9-F00B-484F-A684-53B3FEB2CFF0}"/>
                    </c:ext>
                  </c:extLst>
                </c:dPt>
                <c:dPt>
                  <c:idx val="53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DB-F00B-484F-A684-53B3FEB2CFF0}"/>
                    </c:ext>
                  </c:extLst>
                </c:dPt>
                <c:dPt>
                  <c:idx val="53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DD-F00B-484F-A684-53B3FEB2CFF0}"/>
                    </c:ext>
                  </c:extLst>
                </c:dPt>
                <c:dPt>
                  <c:idx val="53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DF-F00B-484F-A684-53B3FEB2CFF0}"/>
                    </c:ext>
                  </c:extLst>
                </c:dPt>
                <c:dPt>
                  <c:idx val="53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E1-F00B-484F-A684-53B3FEB2CFF0}"/>
                    </c:ext>
                  </c:extLst>
                </c:dPt>
                <c:dPt>
                  <c:idx val="53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E3-F00B-484F-A684-53B3FEB2CFF0}"/>
                    </c:ext>
                  </c:extLst>
                </c:dPt>
                <c:dPt>
                  <c:idx val="53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E5-F00B-484F-A684-53B3FEB2CFF0}"/>
                    </c:ext>
                  </c:extLst>
                </c:dPt>
                <c:dPt>
                  <c:idx val="53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E7-F00B-484F-A684-53B3FEB2CFF0}"/>
                    </c:ext>
                  </c:extLst>
                </c:dPt>
                <c:dPt>
                  <c:idx val="54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E9-F00B-484F-A684-53B3FEB2CFF0}"/>
                    </c:ext>
                  </c:extLst>
                </c:dPt>
                <c:dPt>
                  <c:idx val="54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EB-F00B-484F-A684-53B3FEB2CFF0}"/>
                    </c:ext>
                  </c:extLst>
                </c:dPt>
                <c:dPt>
                  <c:idx val="54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ED-F00B-484F-A684-53B3FEB2CFF0}"/>
                    </c:ext>
                  </c:extLst>
                </c:dPt>
                <c:dPt>
                  <c:idx val="54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EF-F00B-484F-A684-53B3FEB2CFF0}"/>
                    </c:ext>
                  </c:extLst>
                </c:dPt>
                <c:dPt>
                  <c:idx val="54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F1-F00B-484F-A684-53B3FEB2CFF0}"/>
                    </c:ext>
                  </c:extLst>
                </c:dPt>
                <c:dPt>
                  <c:idx val="54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F3-F00B-484F-A684-53B3FEB2CFF0}"/>
                    </c:ext>
                  </c:extLst>
                </c:dPt>
                <c:dPt>
                  <c:idx val="54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F5-F00B-484F-A684-53B3FEB2CFF0}"/>
                    </c:ext>
                  </c:extLst>
                </c:dPt>
                <c:dPt>
                  <c:idx val="54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F7-F00B-484F-A684-53B3FEB2CFF0}"/>
                    </c:ext>
                  </c:extLst>
                </c:dPt>
                <c:dPt>
                  <c:idx val="54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F9-F00B-484F-A684-53B3FEB2CFF0}"/>
                    </c:ext>
                  </c:extLst>
                </c:dPt>
                <c:dPt>
                  <c:idx val="54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FB-F00B-484F-A684-53B3FEB2CFF0}"/>
                    </c:ext>
                  </c:extLst>
                </c:dPt>
                <c:dPt>
                  <c:idx val="55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FD-F00B-484F-A684-53B3FEB2CFF0}"/>
                    </c:ext>
                  </c:extLst>
                </c:dPt>
                <c:dPt>
                  <c:idx val="55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FF-F00B-484F-A684-53B3FEB2CFF0}"/>
                    </c:ext>
                  </c:extLst>
                </c:dPt>
                <c:dPt>
                  <c:idx val="55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01-F00B-484F-A684-53B3FEB2CFF0}"/>
                    </c:ext>
                  </c:extLst>
                </c:dPt>
                <c:dPt>
                  <c:idx val="55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03-F00B-484F-A684-53B3FEB2CFF0}"/>
                    </c:ext>
                  </c:extLst>
                </c:dPt>
                <c:dPt>
                  <c:idx val="55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05-F00B-484F-A684-53B3FEB2CFF0}"/>
                    </c:ext>
                  </c:extLst>
                </c:dPt>
                <c:dPt>
                  <c:idx val="55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07-F00B-484F-A684-53B3FEB2CFF0}"/>
                    </c:ext>
                  </c:extLst>
                </c:dPt>
                <c:dPt>
                  <c:idx val="55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09-F00B-484F-A684-53B3FEB2CFF0}"/>
                    </c:ext>
                  </c:extLst>
                </c:dPt>
                <c:dPt>
                  <c:idx val="55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0B-F00B-484F-A684-53B3FEB2CFF0}"/>
                    </c:ext>
                  </c:extLst>
                </c:dPt>
                <c:dPt>
                  <c:idx val="55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0D-F00B-484F-A684-53B3FEB2CFF0}"/>
                    </c:ext>
                  </c:extLst>
                </c:dPt>
                <c:dPt>
                  <c:idx val="55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0F-F00B-484F-A684-53B3FEB2CFF0}"/>
                    </c:ext>
                  </c:extLst>
                </c:dPt>
                <c:dPt>
                  <c:idx val="56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11-F00B-484F-A684-53B3FEB2CFF0}"/>
                    </c:ext>
                  </c:extLst>
                </c:dPt>
                <c:dPt>
                  <c:idx val="56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13-F00B-484F-A684-53B3FEB2CFF0}"/>
                    </c:ext>
                  </c:extLst>
                </c:dPt>
                <c:dPt>
                  <c:idx val="56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15-F00B-484F-A684-53B3FEB2CFF0}"/>
                    </c:ext>
                  </c:extLst>
                </c:dPt>
                <c:dPt>
                  <c:idx val="56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17-F00B-484F-A684-53B3FEB2CFF0}"/>
                    </c:ext>
                  </c:extLst>
                </c:dPt>
                <c:dPt>
                  <c:idx val="56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19-F00B-484F-A684-53B3FEB2CFF0}"/>
                    </c:ext>
                  </c:extLst>
                </c:dPt>
                <c:dPt>
                  <c:idx val="56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1B-F00B-484F-A684-53B3FEB2CFF0}"/>
                    </c:ext>
                  </c:extLst>
                </c:dPt>
                <c:dPt>
                  <c:idx val="56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1D-F00B-484F-A684-53B3FEB2CFF0}"/>
                    </c:ext>
                  </c:extLst>
                </c:dPt>
                <c:dPt>
                  <c:idx val="56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1F-F00B-484F-A684-53B3FEB2CFF0}"/>
                    </c:ext>
                  </c:extLst>
                </c:dPt>
                <c:dPt>
                  <c:idx val="56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21-F00B-484F-A684-53B3FEB2CFF0}"/>
                    </c:ext>
                  </c:extLst>
                </c:dPt>
                <c:dPt>
                  <c:idx val="56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23-F00B-484F-A684-53B3FEB2CFF0}"/>
                    </c:ext>
                  </c:extLst>
                </c:dPt>
                <c:dPt>
                  <c:idx val="57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25-F00B-484F-A684-53B3FEB2CFF0}"/>
                    </c:ext>
                  </c:extLst>
                </c:dPt>
                <c:dPt>
                  <c:idx val="57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27-F00B-484F-A684-53B3FEB2CFF0}"/>
                    </c:ext>
                  </c:extLst>
                </c:dPt>
                <c:dPt>
                  <c:idx val="57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29-F00B-484F-A684-53B3FEB2CFF0}"/>
                    </c:ext>
                  </c:extLst>
                </c:dPt>
                <c:dPt>
                  <c:idx val="57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2B-F00B-484F-A684-53B3FEB2CFF0}"/>
                    </c:ext>
                  </c:extLst>
                </c:dPt>
                <c:dPt>
                  <c:idx val="57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2D-F00B-484F-A684-53B3FEB2CFF0}"/>
                    </c:ext>
                  </c:extLst>
                </c:dPt>
                <c:dPt>
                  <c:idx val="57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2F-F00B-484F-A684-53B3FEB2CFF0}"/>
                    </c:ext>
                  </c:extLst>
                </c:dPt>
                <c:dPt>
                  <c:idx val="57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31-F00B-484F-A684-53B3FEB2CFF0}"/>
                    </c:ext>
                  </c:extLst>
                </c:dPt>
                <c:dPt>
                  <c:idx val="57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33-F00B-484F-A684-53B3FEB2CFF0}"/>
                    </c:ext>
                  </c:extLst>
                </c:dPt>
                <c:dPt>
                  <c:idx val="57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35-F00B-484F-A684-53B3FEB2CFF0}"/>
                    </c:ext>
                  </c:extLst>
                </c:dPt>
                <c:dPt>
                  <c:idx val="57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37-F00B-484F-A684-53B3FEB2CFF0}"/>
                    </c:ext>
                  </c:extLst>
                </c:dPt>
                <c:dPt>
                  <c:idx val="58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39-F00B-484F-A684-53B3FEB2CFF0}"/>
                    </c:ext>
                  </c:extLst>
                </c:dPt>
                <c:dPt>
                  <c:idx val="58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3B-F00B-484F-A684-53B3FEB2CFF0}"/>
                    </c:ext>
                  </c:extLst>
                </c:dPt>
                <c:dPt>
                  <c:idx val="58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3D-F00B-484F-A684-53B3FEB2CFF0}"/>
                    </c:ext>
                  </c:extLst>
                </c:dPt>
                <c:dPt>
                  <c:idx val="58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3F-F00B-484F-A684-53B3FEB2CFF0}"/>
                    </c:ext>
                  </c:extLst>
                </c:dPt>
                <c:dPt>
                  <c:idx val="58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41-F00B-484F-A684-53B3FEB2CFF0}"/>
                    </c:ext>
                  </c:extLst>
                </c:dPt>
                <c:dPt>
                  <c:idx val="58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43-F00B-484F-A684-53B3FEB2CFF0}"/>
                    </c:ext>
                  </c:extLst>
                </c:dPt>
                <c:dPt>
                  <c:idx val="58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45-F00B-484F-A684-53B3FEB2CFF0}"/>
                    </c:ext>
                  </c:extLst>
                </c:dPt>
                <c:dPt>
                  <c:idx val="58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47-F00B-484F-A684-53B3FEB2CFF0}"/>
                    </c:ext>
                  </c:extLst>
                </c:dPt>
                <c:dPt>
                  <c:idx val="58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49-F00B-484F-A684-53B3FEB2CFF0}"/>
                    </c:ext>
                  </c:extLst>
                </c:dPt>
                <c:dPt>
                  <c:idx val="58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4B-F00B-484F-A684-53B3FEB2CFF0}"/>
                    </c:ext>
                  </c:extLst>
                </c:dPt>
                <c:dPt>
                  <c:idx val="59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4D-F00B-484F-A684-53B3FEB2CFF0}"/>
                    </c:ext>
                  </c:extLst>
                </c:dPt>
                <c:dPt>
                  <c:idx val="59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4F-F00B-484F-A684-53B3FEB2CFF0}"/>
                    </c:ext>
                  </c:extLst>
                </c:dPt>
                <c:dPt>
                  <c:idx val="59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51-F00B-484F-A684-53B3FEB2CFF0}"/>
                    </c:ext>
                  </c:extLst>
                </c:dPt>
                <c:dPt>
                  <c:idx val="59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53-F00B-484F-A684-53B3FEB2CFF0}"/>
                    </c:ext>
                  </c:extLst>
                </c:dPt>
                <c:dPt>
                  <c:idx val="59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55-F00B-484F-A684-53B3FEB2CFF0}"/>
                    </c:ext>
                  </c:extLst>
                </c:dPt>
                <c:dPt>
                  <c:idx val="59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57-F00B-484F-A684-53B3FEB2CFF0}"/>
                    </c:ext>
                  </c:extLst>
                </c:dPt>
                <c:dPt>
                  <c:idx val="59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59-F00B-484F-A684-53B3FEB2CFF0}"/>
                    </c:ext>
                  </c:extLst>
                </c:dPt>
                <c:dPt>
                  <c:idx val="59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5B-F00B-484F-A684-53B3FEB2CFF0}"/>
                    </c:ext>
                  </c:extLst>
                </c:dPt>
                <c:dPt>
                  <c:idx val="59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5D-F00B-484F-A684-53B3FEB2CFF0}"/>
                    </c:ext>
                  </c:extLst>
                </c:dPt>
                <c:dPt>
                  <c:idx val="59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5F-F00B-484F-A684-53B3FEB2CFF0}"/>
                    </c:ext>
                  </c:extLst>
                </c:dPt>
                <c:dPt>
                  <c:idx val="60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61-F00B-484F-A684-53B3FEB2CFF0}"/>
                    </c:ext>
                  </c:extLst>
                </c:dPt>
                <c:dPt>
                  <c:idx val="60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63-F00B-484F-A684-53B3FEB2CFF0}"/>
                    </c:ext>
                  </c:extLst>
                </c:dPt>
                <c:dPt>
                  <c:idx val="60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65-F00B-484F-A684-53B3FEB2CFF0}"/>
                    </c:ext>
                  </c:extLst>
                </c:dPt>
                <c:dPt>
                  <c:idx val="60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67-F00B-484F-A684-53B3FEB2CFF0}"/>
                    </c:ext>
                  </c:extLst>
                </c:dPt>
                <c:dPt>
                  <c:idx val="60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69-F00B-484F-A684-53B3FEB2CFF0}"/>
                    </c:ext>
                  </c:extLst>
                </c:dPt>
                <c:dPt>
                  <c:idx val="60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6B-F00B-484F-A684-53B3FEB2CFF0}"/>
                    </c:ext>
                  </c:extLst>
                </c:dPt>
                <c:dPt>
                  <c:idx val="60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6D-F00B-484F-A684-53B3FEB2CFF0}"/>
                    </c:ext>
                  </c:extLst>
                </c:dPt>
                <c:dPt>
                  <c:idx val="60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6F-F00B-484F-A684-53B3FEB2CFF0}"/>
                    </c:ext>
                  </c:extLst>
                </c:dPt>
                <c:dPt>
                  <c:idx val="60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71-F00B-484F-A684-53B3FEB2CFF0}"/>
                    </c:ext>
                  </c:extLst>
                </c:dPt>
                <c:dPt>
                  <c:idx val="60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73-F00B-484F-A684-53B3FEB2CFF0}"/>
                    </c:ext>
                  </c:extLst>
                </c:dPt>
                <c:dPt>
                  <c:idx val="61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75-F00B-484F-A684-53B3FEB2CFF0}"/>
                    </c:ext>
                  </c:extLst>
                </c:dPt>
                <c:dPt>
                  <c:idx val="61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77-F00B-484F-A684-53B3FEB2CFF0}"/>
                    </c:ext>
                  </c:extLst>
                </c:dPt>
                <c:dPt>
                  <c:idx val="61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79-F00B-484F-A684-53B3FEB2CFF0}"/>
                    </c:ext>
                  </c:extLst>
                </c:dPt>
                <c:dPt>
                  <c:idx val="61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7B-F00B-484F-A684-53B3FEB2CFF0}"/>
                    </c:ext>
                  </c:extLst>
                </c:dPt>
                <c:dPt>
                  <c:idx val="61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7D-F00B-484F-A684-53B3FEB2CFF0}"/>
                    </c:ext>
                  </c:extLst>
                </c:dPt>
                <c:dPt>
                  <c:idx val="61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7F-F00B-484F-A684-53B3FEB2CFF0}"/>
                    </c:ext>
                  </c:extLst>
                </c:dPt>
                <c:dPt>
                  <c:idx val="61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81-F00B-484F-A684-53B3FEB2CFF0}"/>
                    </c:ext>
                  </c:extLst>
                </c:dPt>
                <c:dPt>
                  <c:idx val="61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83-F00B-484F-A684-53B3FEB2CFF0}"/>
                    </c:ext>
                  </c:extLst>
                </c:dPt>
                <c:dPt>
                  <c:idx val="61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85-F00B-484F-A684-53B3FEB2CFF0}"/>
                    </c:ext>
                  </c:extLst>
                </c:dPt>
                <c:dPt>
                  <c:idx val="61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87-F00B-484F-A684-53B3FEB2CFF0}"/>
                    </c:ext>
                  </c:extLst>
                </c:dPt>
                <c:dPt>
                  <c:idx val="62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89-F00B-484F-A684-53B3FEB2CFF0}"/>
                    </c:ext>
                  </c:extLst>
                </c:dPt>
                <c:dPt>
                  <c:idx val="62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8B-F00B-484F-A684-53B3FEB2CFF0}"/>
                    </c:ext>
                  </c:extLst>
                </c:dPt>
                <c:dPt>
                  <c:idx val="62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8D-F00B-484F-A684-53B3FEB2CFF0}"/>
                    </c:ext>
                  </c:extLst>
                </c:dPt>
                <c:dPt>
                  <c:idx val="62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8F-F00B-484F-A684-53B3FEB2CFF0}"/>
                    </c:ext>
                  </c:extLst>
                </c:dPt>
                <c:dPt>
                  <c:idx val="62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91-F00B-484F-A684-53B3FEB2CFF0}"/>
                    </c:ext>
                  </c:extLst>
                </c:dPt>
                <c:dPt>
                  <c:idx val="62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93-F00B-484F-A684-53B3FEB2CFF0}"/>
                    </c:ext>
                  </c:extLst>
                </c:dPt>
                <c:dPt>
                  <c:idx val="626"/>
                  <c:bubble3D val="0"/>
                  <c:spPr>
                    <a:solidFill>
                      <a:srgbClr val="92D050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95-F00B-484F-A684-53B3FEB2CFF0}"/>
                    </c:ext>
                  </c:extLst>
                </c:dPt>
                <c:dPt>
                  <c:idx val="62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97-F00B-484F-A684-53B3FEB2CFF0}"/>
                    </c:ext>
                  </c:extLst>
                </c:dPt>
                <c:dPt>
                  <c:idx val="62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99-F00B-484F-A684-53B3FEB2CFF0}"/>
                    </c:ext>
                  </c:extLst>
                </c:dPt>
                <c:dPt>
                  <c:idx val="62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9B-F00B-484F-A684-53B3FEB2CFF0}"/>
                    </c:ext>
                  </c:extLst>
                </c:dPt>
                <c:dPt>
                  <c:idx val="63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9D-F00B-484F-A684-53B3FEB2CFF0}"/>
                    </c:ext>
                  </c:extLst>
                </c:dPt>
                <c:dPt>
                  <c:idx val="63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9F-F00B-484F-A684-53B3FEB2CFF0}"/>
                    </c:ext>
                  </c:extLst>
                </c:dPt>
                <c:dPt>
                  <c:idx val="63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A1-F00B-484F-A684-53B3FEB2CFF0}"/>
                    </c:ext>
                  </c:extLst>
                </c:dPt>
                <c:dPt>
                  <c:idx val="63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A3-F00B-484F-A684-53B3FEB2CFF0}"/>
                    </c:ext>
                  </c:extLst>
                </c:dPt>
                <c:dPt>
                  <c:idx val="63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A5-F00B-484F-A684-53B3FEB2CFF0}"/>
                    </c:ext>
                  </c:extLst>
                </c:dPt>
                <c:dPt>
                  <c:idx val="63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A7-F00B-484F-A684-53B3FEB2CFF0}"/>
                    </c:ext>
                  </c:extLst>
                </c:dPt>
                <c:dPt>
                  <c:idx val="63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A9-F00B-484F-A684-53B3FEB2CFF0}"/>
                    </c:ext>
                  </c:extLst>
                </c:dPt>
                <c:dPt>
                  <c:idx val="63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AB-F00B-484F-A684-53B3FEB2CFF0}"/>
                    </c:ext>
                  </c:extLst>
                </c:dPt>
                <c:dPt>
                  <c:idx val="63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AD-F00B-484F-A684-53B3FEB2CFF0}"/>
                    </c:ext>
                  </c:extLst>
                </c:dPt>
                <c:dPt>
                  <c:idx val="63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AF-F00B-484F-A684-53B3FEB2CFF0}"/>
                    </c:ext>
                  </c:extLst>
                </c:dPt>
                <c:dPt>
                  <c:idx val="64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B1-F00B-484F-A684-53B3FEB2CFF0}"/>
                    </c:ext>
                  </c:extLst>
                </c:dPt>
                <c:dPt>
                  <c:idx val="64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B3-F00B-484F-A684-53B3FEB2CFF0}"/>
                    </c:ext>
                  </c:extLst>
                </c:dPt>
                <c:dPt>
                  <c:idx val="64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B5-F00B-484F-A684-53B3FEB2CFF0}"/>
                    </c:ext>
                  </c:extLst>
                </c:dPt>
                <c:dPt>
                  <c:idx val="64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B7-F00B-484F-A684-53B3FEB2CFF0}"/>
                    </c:ext>
                  </c:extLst>
                </c:dPt>
                <c:dPt>
                  <c:idx val="64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B9-F00B-484F-A684-53B3FEB2CFF0}"/>
                    </c:ext>
                  </c:extLst>
                </c:dPt>
                <c:dPt>
                  <c:idx val="64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BB-F00B-484F-A684-53B3FEB2CFF0}"/>
                    </c:ext>
                  </c:extLst>
                </c:dPt>
                <c:dPt>
                  <c:idx val="64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BD-F00B-484F-A684-53B3FEB2CFF0}"/>
                    </c:ext>
                  </c:extLst>
                </c:dPt>
                <c:dPt>
                  <c:idx val="64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BF-F00B-484F-A684-53B3FEB2CFF0}"/>
                    </c:ext>
                  </c:extLst>
                </c:dPt>
                <c:dPt>
                  <c:idx val="64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C1-F00B-484F-A684-53B3FEB2CFF0}"/>
                    </c:ext>
                  </c:extLst>
                </c:dPt>
                <c:dPt>
                  <c:idx val="64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C3-F00B-484F-A684-53B3FEB2CFF0}"/>
                    </c:ext>
                  </c:extLst>
                </c:dPt>
                <c:dPt>
                  <c:idx val="65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C5-F00B-484F-A684-53B3FEB2CFF0}"/>
                    </c:ext>
                  </c:extLst>
                </c:dPt>
                <c:dPt>
                  <c:idx val="65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C7-F00B-484F-A684-53B3FEB2CFF0}"/>
                    </c:ext>
                  </c:extLst>
                </c:dPt>
                <c:dPt>
                  <c:idx val="65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C9-F00B-484F-A684-53B3FEB2CFF0}"/>
                    </c:ext>
                  </c:extLst>
                </c:dPt>
                <c:dPt>
                  <c:idx val="65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CB-F00B-484F-A684-53B3FEB2CFF0}"/>
                    </c:ext>
                  </c:extLst>
                </c:dPt>
                <c:dPt>
                  <c:idx val="65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CD-F00B-484F-A684-53B3FEB2CFF0}"/>
                    </c:ext>
                  </c:extLst>
                </c:dPt>
                <c:dPt>
                  <c:idx val="65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CF-F00B-484F-A684-53B3FEB2CFF0}"/>
                    </c:ext>
                  </c:extLst>
                </c:dPt>
                <c:dPt>
                  <c:idx val="65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D1-F00B-484F-A684-53B3FEB2CFF0}"/>
                    </c:ext>
                  </c:extLst>
                </c:dPt>
                <c:dPt>
                  <c:idx val="65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D3-F00B-484F-A684-53B3FEB2CFF0}"/>
                    </c:ext>
                  </c:extLst>
                </c:dPt>
                <c:dPt>
                  <c:idx val="65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D5-F00B-484F-A684-53B3FEB2CFF0}"/>
                    </c:ext>
                  </c:extLst>
                </c:dPt>
                <c:dPt>
                  <c:idx val="65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D7-F00B-484F-A684-53B3FEB2CFF0}"/>
                    </c:ext>
                  </c:extLst>
                </c:dPt>
                <c:dPt>
                  <c:idx val="66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D9-F00B-484F-A684-53B3FEB2CFF0}"/>
                    </c:ext>
                  </c:extLst>
                </c:dPt>
                <c:dPt>
                  <c:idx val="66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DB-F00B-484F-A684-53B3FEB2CFF0}"/>
                    </c:ext>
                  </c:extLst>
                </c:dPt>
                <c:dPt>
                  <c:idx val="66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DD-F00B-484F-A684-53B3FEB2CFF0}"/>
                    </c:ext>
                  </c:extLst>
                </c:dPt>
                <c:dPt>
                  <c:idx val="66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DF-F00B-484F-A684-53B3FEB2CFF0}"/>
                    </c:ext>
                  </c:extLst>
                </c:dPt>
                <c:dPt>
                  <c:idx val="66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E1-F00B-484F-A684-53B3FEB2CFF0}"/>
                    </c:ext>
                  </c:extLst>
                </c:dPt>
                <c:dPt>
                  <c:idx val="66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E3-F00B-484F-A684-53B3FEB2CFF0}"/>
                    </c:ext>
                  </c:extLst>
                </c:dPt>
                <c:dPt>
                  <c:idx val="66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E5-F00B-484F-A684-53B3FEB2CFF0}"/>
                    </c:ext>
                  </c:extLst>
                </c:dPt>
                <c:dPt>
                  <c:idx val="66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E7-F00B-484F-A684-53B3FEB2CFF0}"/>
                    </c:ext>
                  </c:extLst>
                </c:dPt>
                <c:dPt>
                  <c:idx val="66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E9-F00B-484F-A684-53B3FEB2CFF0}"/>
                    </c:ext>
                  </c:extLst>
                </c:dPt>
                <c:dPt>
                  <c:idx val="66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EB-F00B-484F-A684-53B3FEB2CFF0}"/>
                    </c:ext>
                  </c:extLst>
                </c:dPt>
                <c:dPt>
                  <c:idx val="67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ED-F00B-484F-A684-53B3FEB2CFF0}"/>
                    </c:ext>
                  </c:extLst>
                </c:dPt>
                <c:dPt>
                  <c:idx val="67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EF-F00B-484F-A684-53B3FEB2CFF0}"/>
                    </c:ext>
                  </c:extLst>
                </c:dPt>
                <c:dPt>
                  <c:idx val="67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F1-F00B-484F-A684-53B3FEB2CFF0}"/>
                    </c:ext>
                  </c:extLst>
                </c:dPt>
                <c:dPt>
                  <c:idx val="67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F3-F00B-484F-A684-53B3FEB2CFF0}"/>
                    </c:ext>
                  </c:extLst>
                </c:dPt>
                <c:dPt>
                  <c:idx val="67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F5-F00B-484F-A684-53B3FEB2CFF0}"/>
                    </c:ext>
                  </c:extLst>
                </c:dPt>
                <c:dPt>
                  <c:idx val="67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F7-F00B-484F-A684-53B3FEB2CFF0}"/>
                    </c:ext>
                  </c:extLst>
                </c:dPt>
                <c:dPt>
                  <c:idx val="67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F9-F00B-484F-A684-53B3FEB2CFF0}"/>
                    </c:ext>
                  </c:extLst>
                </c:dPt>
                <c:dPt>
                  <c:idx val="67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FB-F00B-484F-A684-53B3FEB2CFF0}"/>
                    </c:ext>
                  </c:extLst>
                </c:dPt>
                <c:dPt>
                  <c:idx val="67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FD-F00B-484F-A684-53B3FEB2CFF0}"/>
                    </c:ext>
                  </c:extLst>
                </c:dPt>
                <c:dPt>
                  <c:idx val="67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FF-F00B-484F-A684-53B3FEB2CFF0}"/>
                    </c:ext>
                  </c:extLst>
                </c:dPt>
                <c:dPt>
                  <c:idx val="68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01-F00B-484F-A684-53B3FEB2CFF0}"/>
                    </c:ext>
                  </c:extLst>
                </c:dPt>
                <c:dPt>
                  <c:idx val="68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03-F00B-484F-A684-53B3FEB2CFF0}"/>
                    </c:ext>
                  </c:extLst>
                </c:dPt>
                <c:dPt>
                  <c:idx val="68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05-F00B-484F-A684-53B3FEB2CFF0}"/>
                    </c:ext>
                  </c:extLst>
                </c:dPt>
                <c:dPt>
                  <c:idx val="68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07-F00B-484F-A684-53B3FEB2CFF0}"/>
                    </c:ext>
                  </c:extLst>
                </c:dPt>
                <c:dPt>
                  <c:idx val="68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09-F00B-484F-A684-53B3FEB2CFF0}"/>
                    </c:ext>
                  </c:extLst>
                </c:dPt>
                <c:dPt>
                  <c:idx val="68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0B-F00B-484F-A684-53B3FEB2CFF0}"/>
                    </c:ext>
                  </c:extLst>
                </c:dPt>
                <c:dPt>
                  <c:idx val="68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0D-F00B-484F-A684-53B3FEB2CFF0}"/>
                    </c:ext>
                  </c:extLst>
                </c:dPt>
                <c:dPt>
                  <c:idx val="68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0F-F00B-484F-A684-53B3FEB2CFF0}"/>
                    </c:ext>
                  </c:extLst>
                </c:dPt>
                <c:dPt>
                  <c:idx val="68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11-F00B-484F-A684-53B3FEB2CFF0}"/>
                    </c:ext>
                  </c:extLst>
                </c:dPt>
                <c:dPt>
                  <c:idx val="68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13-F00B-484F-A684-53B3FEB2CFF0}"/>
                    </c:ext>
                  </c:extLst>
                </c:dPt>
                <c:dPt>
                  <c:idx val="69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15-F00B-484F-A684-53B3FEB2CFF0}"/>
                    </c:ext>
                  </c:extLst>
                </c:dPt>
                <c:dPt>
                  <c:idx val="69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17-F00B-484F-A684-53B3FEB2CFF0}"/>
                    </c:ext>
                  </c:extLst>
                </c:dPt>
                <c:dPt>
                  <c:idx val="69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19-F00B-484F-A684-53B3FEB2CFF0}"/>
                    </c:ext>
                  </c:extLst>
                </c:dPt>
                <c:dPt>
                  <c:idx val="69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1B-F00B-484F-A684-53B3FEB2CFF0}"/>
                    </c:ext>
                  </c:extLst>
                </c:dPt>
                <c:dPt>
                  <c:idx val="69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1D-F00B-484F-A684-53B3FEB2CFF0}"/>
                    </c:ext>
                  </c:extLst>
                </c:dPt>
                <c:dPt>
                  <c:idx val="69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1F-F00B-484F-A684-53B3FEB2CFF0}"/>
                    </c:ext>
                  </c:extLst>
                </c:dPt>
                <c:dPt>
                  <c:idx val="69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21-F00B-484F-A684-53B3FEB2CFF0}"/>
                    </c:ext>
                  </c:extLst>
                </c:dPt>
                <c:dPt>
                  <c:idx val="69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23-F00B-484F-A684-53B3FEB2CFF0}"/>
                    </c:ext>
                  </c:extLst>
                </c:dPt>
                <c:dPt>
                  <c:idx val="69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25-F00B-484F-A684-53B3FEB2CFF0}"/>
                    </c:ext>
                  </c:extLst>
                </c:dPt>
                <c:dPt>
                  <c:idx val="69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27-F00B-484F-A684-53B3FEB2CFF0}"/>
                    </c:ext>
                  </c:extLst>
                </c:dPt>
                <c:dPt>
                  <c:idx val="70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29-F00B-484F-A684-53B3FEB2CFF0}"/>
                    </c:ext>
                  </c:extLst>
                </c:dPt>
                <c:dPt>
                  <c:idx val="70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2B-F00B-484F-A684-53B3FEB2CFF0}"/>
                    </c:ext>
                  </c:extLst>
                </c:dPt>
                <c:dPt>
                  <c:idx val="70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2D-F00B-484F-A684-53B3FEB2CFF0}"/>
                    </c:ext>
                  </c:extLst>
                </c:dPt>
                <c:dPt>
                  <c:idx val="70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2F-F00B-484F-A684-53B3FEB2CFF0}"/>
                    </c:ext>
                  </c:extLst>
                </c:dPt>
                <c:dPt>
                  <c:idx val="70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31-F00B-484F-A684-53B3FEB2CFF0}"/>
                    </c:ext>
                  </c:extLst>
                </c:dPt>
                <c:dPt>
                  <c:idx val="70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33-F00B-484F-A684-53B3FEB2CFF0}"/>
                    </c:ext>
                  </c:extLst>
                </c:dPt>
                <c:dPt>
                  <c:idx val="70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35-F00B-484F-A684-53B3FEB2CFF0}"/>
                    </c:ext>
                  </c:extLst>
                </c:dPt>
                <c:dPt>
                  <c:idx val="70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37-F00B-484F-A684-53B3FEB2CFF0}"/>
                    </c:ext>
                  </c:extLst>
                </c:dPt>
                <c:dPt>
                  <c:idx val="70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39-F00B-484F-A684-53B3FEB2CFF0}"/>
                    </c:ext>
                  </c:extLst>
                </c:dPt>
                <c:dPt>
                  <c:idx val="70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3B-F00B-484F-A684-53B3FEB2CFF0}"/>
                    </c:ext>
                  </c:extLst>
                </c:dPt>
                <c:dPt>
                  <c:idx val="71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3D-F00B-484F-A684-53B3FEB2CFF0}"/>
                    </c:ext>
                  </c:extLst>
                </c:dPt>
                <c:dPt>
                  <c:idx val="71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3F-F00B-484F-A684-53B3FEB2CFF0}"/>
                    </c:ext>
                  </c:extLst>
                </c:dPt>
                <c:dPt>
                  <c:idx val="71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41-F00B-484F-A684-53B3FEB2CFF0}"/>
                    </c:ext>
                  </c:extLst>
                </c:dPt>
                <c:dPt>
                  <c:idx val="71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43-F00B-484F-A684-53B3FEB2CFF0}"/>
                    </c:ext>
                  </c:extLst>
                </c:dPt>
                <c:dPt>
                  <c:idx val="71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45-F00B-484F-A684-53B3FEB2CFF0}"/>
                    </c:ext>
                  </c:extLst>
                </c:dPt>
                <c:dPt>
                  <c:idx val="71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47-F00B-484F-A684-53B3FEB2CFF0}"/>
                    </c:ext>
                  </c:extLst>
                </c:dPt>
                <c:dPt>
                  <c:idx val="71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49-F00B-484F-A684-53B3FEB2CFF0}"/>
                    </c:ext>
                  </c:extLst>
                </c:dPt>
                <c:dPt>
                  <c:idx val="71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4B-F00B-484F-A684-53B3FEB2CFF0}"/>
                    </c:ext>
                  </c:extLst>
                </c:dPt>
                <c:dPt>
                  <c:idx val="71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4D-F00B-484F-A684-53B3FEB2CFF0}"/>
                    </c:ext>
                  </c:extLst>
                </c:dPt>
                <c:dPt>
                  <c:idx val="71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4F-F00B-484F-A684-53B3FEB2CFF0}"/>
                    </c:ext>
                  </c:extLst>
                </c:dPt>
                <c:dPt>
                  <c:idx val="72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51-F00B-484F-A684-53B3FEB2CFF0}"/>
                    </c:ext>
                  </c:extLst>
                </c:dPt>
                <c:dPt>
                  <c:idx val="721"/>
                  <c:bubble3D val="0"/>
                  <c:spPr>
                    <a:solidFill>
                      <a:srgbClr val="08E61D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53-F00B-484F-A684-53B3FEB2CFF0}"/>
                    </c:ext>
                  </c:extLst>
                </c:dPt>
                <c:dPt>
                  <c:idx val="72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55-F00B-484F-A684-53B3FEB2CFF0}"/>
                    </c:ext>
                  </c:extLst>
                </c:dPt>
                <c:dPt>
                  <c:idx val="72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57-F00B-484F-A684-53B3FEB2CFF0}"/>
                    </c:ext>
                  </c:extLst>
                </c:dPt>
                <c:dPt>
                  <c:idx val="72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59-F00B-484F-A684-53B3FEB2CFF0}"/>
                    </c:ext>
                  </c:extLst>
                </c:dPt>
                <c:dPt>
                  <c:idx val="725"/>
                  <c:bubble3D val="0"/>
                  <c:spPr>
                    <a:solidFill>
                      <a:schemeClr val="accent4">
                        <a:lumMod val="40000"/>
                        <a:lumOff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5B-F00B-484F-A684-53B3FEB2CFF0}"/>
                    </c:ext>
                  </c:extLst>
                </c:dPt>
                <c:dPt>
                  <c:idx val="72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5D-F00B-484F-A684-53B3FEB2CFF0}"/>
                    </c:ext>
                  </c:extLst>
                </c:dPt>
                <c:dPt>
                  <c:idx val="72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5F-F00B-484F-A684-53B3FEB2CFF0}"/>
                    </c:ext>
                  </c:extLst>
                </c:dPt>
                <c:dPt>
                  <c:idx val="72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61-F00B-484F-A684-53B3FEB2CFF0}"/>
                    </c:ext>
                  </c:extLst>
                </c:dPt>
                <c:dPt>
                  <c:idx val="72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63-F00B-484F-A684-53B3FEB2CFF0}"/>
                    </c:ext>
                  </c:extLst>
                </c:dPt>
                <c:dPt>
                  <c:idx val="73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65-F00B-484F-A684-53B3FEB2CFF0}"/>
                    </c:ext>
                  </c:extLst>
                </c:dPt>
                <c:dPt>
                  <c:idx val="73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67-F00B-484F-A684-53B3FEB2CFF0}"/>
                    </c:ext>
                  </c:extLst>
                </c:dPt>
                <c:dPt>
                  <c:idx val="73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69-F00B-484F-A684-53B3FEB2CFF0}"/>
                    </c:ext>
                  </c:extLst>
                </c:dPt>
                <c:dPt>
                  <c:idx val="73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6B-F00B-484F-A684-53B3FEB2CFF0}"/>
                    </c:ext>
                  </c:extLst>
                </c:dPt>
                <c:dPt>
                  <c:idx val="73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6D-F00B-484F-A684-53B3FEB2CFF0}"/>
                    </c:ext>
                  </c:extLst>
                </c:dPt>
                <c:dPt>
                  <c:idx val="735"/>
                  <c:bubble3D val="0"/>
                  <c:spPr>
                    <a:solidFill>
                      <a:srgbClr val="FF006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6F-F00B-484F-A684-53B3FEB2CFF0}"/>
                    </c:ext>
                  </c:extLst>
                </c:dPt>
                <c:dPt>
                  <c:idx val="73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71-F00B-484F-A684-53B3FEB2CFF0}"/>
                    </c:ext>
                  </c:extLst>
                </c:dPt>
                <c:dPt>
                  <c:idx val="73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73-F00B-484F-A684-53B3FEB2CFF0}"/>
                    </c:ext>
                  </c:extLst>
                </c:dPt>
                <c:dPt>
                  <c:idx val="73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75-F00B-484F-A684-53B3FEB2CFF0}"/>
                    </c:ext>
                  </c:extLst>
                </c:dPt>
                <c:dPt>
                  <c:idx val="73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77-F00B-484F-A684-53B3FEB2CFF0}"/>
                    </c:ext>
                  </c:extLst>
                </c:dPt>
                <c:dPt>
                  <c:idx val="74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79-F00B-484F-A684-53B3FEB2CFF0}"/>
                    </c:ext>
                  </c:extLst>
                </c:dPt>
                <c:dPt>
                  <c:idx val="74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7B-F00B-484F-A684-53B3FEB2CFF0}"/>
                    </c:ext>
                  </c:extLst>
                </c:dPt>
                <c:dPt>
                  <c:idx val="74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7D-F00B-484F-A684-53B3FEB2CFF0}"/>
                    </c:ext>
                  </c:extLst>
                </c:dPt>
                <c:dPt>
                  <c:idx val="743"/>
                  <c:bubble3D val="0"/>
                  <c:spPr>
                    <a:solidFill>
                      <a:srgbClr val="FFFF00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7F-F00B-484F-A684-53B3FEB2CFF0}"/>
                    </c:ext>
                  </c:extLst>
                </c:dPt>
                <c:dPt>
                  <c:idx val="74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81-F00B-484F-A684-53B3FEB2CFF0}"/>
                    </c:ext>
                  </c:extLst>
                </c:dPt>
                <c:dPt>
                  <c:idx val="74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83-F00B-484F-A684-53B3FEB2CFF0}"/>
                    </c:ext>
                  </c:extLst>
                </c:dPt>
                <c:dPt>
                  <c:idx val="74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85-F00B-484F-A684-53B3FEB2CFF0}"/>
                    </c:ext>
                  </c:extLst>
                </c:dPt>
                <c:dPt>
                  <c:idx val="74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87-F00B-484F-A684-53B3FEB2CFF0}"/>
                    </c:ext>
                  </c:extLst>
                </c:dPt>
                <c:dPt>
                  <c:idx val="74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89-F00B-484F-A684-53B3FEB2CFF0}"/>
                    </c:ext>
                  </c:extLst>
                </c:dPt>
                <c:dPt>
                  <c:idx val="74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8B-F00B-484F-A684-53B3FEB2CFF0}"/>
                    </c:ext>
                  </c:extLst>
                </c:dPt>
                <c:dPt>
                  <c:idx val="75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8D-F00B-484F-A684-53B3FEB2CFF0}"/>
                    </c:ext>
                  </c:extLst>
                </c:dPt>
                <c:dPt>
                  <c:idx val="75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8F-F00B-484F-A684-53B3FEB2CFF0}"/>
                    </c:ext>
                  </c:extLst>
                </c:dPt>
                <c:dPt>
                  <c:idx val="75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91-F00B-484F-A684-53B3FEB2CFF0}"/>
                    </c:ext>
                  </c:extLst>
                </c:dPt>
                <c:dPt>
                  <c:idx val="75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93-F00B-484F-A684-53B3FEB2CFF0}"/>
                    </c:ext>
                  </c:extLst>
                </c:dPt>
                <c:dPt>
                  <c:idx val="75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95-F00B-484F-A684-53B3FEB2CFF0}"/>
                    </c:ext>
                  </c:extLst>
                </c:dPt>
                <c:dPt>
                  <c:idx val="75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97-F00B-484F-A684-53B3FEB2CFF0}"/>
                    </c:ext>
                  </c:extLst>
                </c:dPt>
                <c:dPt>
                  <c:idx val="75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99-F00B-484F-A684-53B3FEB2CFF0}"/>
                    </c:ext>
                  </c:extLst>
                </c:dPt>
                <c:dPt>
                  <c:idx val="75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9B-F00B-484F-A684-53B3FEB2CFF0}"/>
                    </c:ext>
                  </c:extLst>
                </c:dPt>
                <c:dPt>
                  <c:idx val="75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9D-F00B-484F-A684-53B3FEB2CFF0}"/>
                    </c:ext>
                  </c:extLst>
                </c:dPt>
                <c:dPt>
                  <c:idx val="75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9F-F00B-484F-A684-53B3FEB2CFF0}"/>
                    </c:ext>
                  </c:extLst>
                </c:dPt>
                <c:dPt>
                  <c:idx val="76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A1-F00B-484F-A684-53B3FEB2CFF0}"/>
                    </c:ext>
                  </c:extLst>
                </c:dPt>
                <c:dPt>
                  <c:idx val="76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A3-F00B-484F-A684-53B3FEB2CFF0}"/>
                    </c:ext>
                  </c:extLst>
                </c:dPt>
                <c:dPt>
                  <c:idx val="76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A5-F00B-484F-A684-53B3FEB2CFF0}"/>
                    </c:ext>
                  </c:extLst>
                </c:dPt>
                <c:dPt>
                  <c:idx val="76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A7-F00B-484F-A684-53B3FEB2CFF0}"/>
                    </c:ext>
                  </c:extLst>
                </c:dPt>
                <c:dPt>
                  <c:idx val="76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A9-F00B-484F-A684-53B3FEB2CFF0}"/>
                    </c:ext>
                  </c:extLst>
                </c:dPt>
                <c:dPt>
                  <c:idx val="76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AB-F00B-484F-A684-53B3FEB2CFF0}"/>
                    </c:ext>
                  </c:extLst>
                </c:dPt>
                <c:dPt>
                  <c:idx val="76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AD-F00B-484F-A684-53B3FEB2CFF0}"/>
                    </c:ext>
                  </c:extLst>
                </c:dPt>
                <c:dPt>
                  <c:idx val="76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AF-F00B-484F-A684-53B3FEB2CFF0}"/>
                    </c:ext>
                  </c:extLst>
                </c:dPt>
                <c:dPt>
                  <c:idx val="76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B1-F00B-484F-A684-53B3FEB2CFF0}"/>
                    </c:ext>
                  </c:extLst>
                </c:dPt>
                <c:dPt>
                  <c:idx val="76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B3-F00B-484F-A684-53B3FEB2CFF0}"/>
                    </c:ext>
                  </c:extLst>
                </c:dPt>
                <c:dPt>
                  <c:idx val="77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B5-F00B-484F-A684-53B3FEB2CFF0}"/>
                    </c:ext>
                  </c:extLst>
                </c:dPt>
                <c:dPt>
                  <c:idx val="77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B7-F00B-484F-A684-53B3FEB2CFF0}"/>
                    </c:ext>
                  </c:extLst>
                </c:dPt>
                <c:dPt>
                  <c:idx val="77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B9-F00B-484F-A684-53B3FEB2CFF0}"/>
                    </c:ext>
                  </c:extLst>
                </c:dPt>
                <c:dPt>
                  <c:idx val="77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BB-F00B-484F-A684-53B3FEB2CFF0}"/>
                    </c:ext>
                  </c:extLst>
                </c:dPt>
                <c:dPt>
                  <c:idx val="77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BD-F00B-484F-A684-53B3FEB2CFF0}"/>
                    </c:ext>
                  </c:extLst>
                </c:dPt>
                <c:dPt>
                  <c:idx val="77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BF-F00B-484F-A684-53B3FEB2CFF0}"/>
                    </c:ext>
                  </c:extLst>
                </c:dPt>
                <c:dPt>
                  <c:idx val="77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C1-F00B-484F-A684-53B3FEB2CFF0}"/>
                    </c:ext>
                  </c:extLst>
                </c:dPt>
                <c:dPt>
                  <c:idx val="77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C3-F00B-484F-A684-53B3FEB2CFF0}"/>
                    </c:ext>
                  </c:extLst>
                </c:dPt>
                <c:dPt>
                  <c:idx val="77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C5-F00B-484F-A684-53B3FEB2CFF0}"/>
                    </c:ext>
                  </c:extLst>
                </c:dPt>
                <c:dPt>
                  <c:idx val="77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C7-F00B-484F-A684-53B3FEB2CFF0}"/>
                    </c:ext>
                  </c:extLst>
                </c:dPt>
                <c:dPt>
                  <c:idx val="78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C9-F00B-484F-A684-53B3FEB2CFF0}"/>
                    </c:ext>
                  </c:extLst>
                </c:dPt>
                <c:dPt>
                  <c:idx val="78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CB-F00B-484F-A684-53B3FEB2CFF0}"/>
                    </c:ext>
                  </c:extLst>
                </c:dPt>
                <c:dPt>
                  <c:idx val="78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CD-F00B-484F-A684-53B3FEB2CFF0}"/>
                    </c:ext>
                  </c:extLst>
                </c:dPt>
                <c:dPt>
                  <c:idx val="78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CF-F00B-484F-A684-53B3FEB2CFF0}"/>
                    </c:ext>
                  </c:extLst>
                </c:dPt>
                <c:dPt>
                  <c:idx val="78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D1-F00B-484F-A684-53B3FEB2CFF0}"/>
                    </c:ext>
                  </c:extLst>
                </c:dPt>
                <c:dPt>
                  <c:idx val="78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D3-F00B-484F-A684-53B3FEB2CFF0}"/>
                    </c:ext>
                  </c:extLst>
                </c:dPt>
                <c:dPt>
                  <c:idx val="78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D5-F00B-484F-A684-53B3FEB2CFF0}"/>
                    </c:ext>
                  </c:extLst>
                </c:dPt>
                <c:dPt>
                  <c:idx val="78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D7-F00B-484F-A684-53B3FEB2CFF0}"/>
                    </c:ext>
                  </c:extLst>
                </c:dPt>
                <c:dPt>
                  <c:idx val="78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D9-F00B-484F-A684-53B3FEB2CFF0}"/>
                    </c:ext>
                  </c:extLst>
                </c:dPt>
                <c:dPt>
                  <c:idx val="78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DB-F00B-484F-A684-53B3FEB2CFF0}"/>
                    </c:ext>
                  </c:extLst>
                </c:dPt>
                <c:dPt>
                  <c:idx val="79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DD-F00B-484F-A684-53B3FEB2CFF0}"/>
                    </c:ext>
                  </c:extLst>
                </c:dPt>
                <c:dPt>
                  <c:idx val="79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DF-F00B-484F-A684-53B3FEB2CFF0}"/>
                    </c:ext>
                  </c:extLst>
                </c:dPt>
                <c:dPt>
                  <c:idx val="79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E1-F00B-484F-A684-53B3FEB2CFF0}"/>
                    </c:ext>
                  </c:extLst>
                </c:dPt>
                <c:dPt>
                  <c:idx val="79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E3-F00B-484F-A684-53B3FEB2CFF0}"/>
                    </c:ext>
                  </c:extLst>
                </c:dPt>
                <c:dPt>
                  <c:idx val="79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E5-F00B-484F-A684-53B3FEB2CFF0}"/>
                    </c:ext>
                  </c:extLst>
                </c:dPt>
                <c:dPt>
                  <c:idx val="79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E7-F00B-484F-A684-53B3FEB2CFF0}"/>
                    </c:ext>
                  </c:extLst>
                </c:dPt>
                <c:dPt>
                  <c:idx val="79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E9-F00B-484F-A684-53B3FEB2CFF0}"/>
                    </c:ext>
                  </c:extLst>
                </c:dPt>
                <c:dPt>
                  <c:idx val="79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EB-F00B-484F-A684-53B3FEB2CFF0}"/>
                    </c:ext>
                  </c:extLst>
                </c:dPt>
                <c:dPt>
                  <c:idx val="79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ED-F00B-484F-A684-53B3FEB2CFF0}"/>
                    </c:ext>
                  </c:extLst>
                </c:dPt>
                <c:dPt>
                  <c:idx val="79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EF-F00B-484F-A684-53B3FEB2CFF0}"/>
                    </c:ext>
                  </c:extLst>
                </c:dPt>
                <c:dPt>
                  <c:idx val="80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F1-F00B-484F-A684-53B3FEB2CFF0}"/>
                    </c:ext>
                  </c:extLst>
                </c:dPt>
                <c:dPt>
                  <c:idx val="80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F3-F00B-484F-A684-53B3FEB2CFF0}"/>
                    </c:ext>
                  </c:extLst>
                </c:dPt>
                <c:dPt>
                  <c:idx val="80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F5-F00B-484F-A684-53B3FEB2CFF0}"/>
                    </c:ext>
                  </c:extLst>
                </c:dPt>
                <c:dPt>
                  <c:idx val="80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F7-F00B-484F-A684-53B3FEB2CFF0}"/>
                    </c:ext>
                  </c:extLst>
                </c:dPt>
                <c:dPt>
                  <c:idx val="80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F9-F00B-484F-A684-53B3FEB2CFF0}"/>
                    </c:ext>
                  </c:extLst>
                </c:dPt>
                <c:dPt>
                  <c:idx val="80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FB-F00B-484F-A684-53B3FEB2CFF0}"/>
                    </c:ext>
                  </c:extLst>
                </c:dPt>
                <c:dPt>
                  <c:idx val="80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FD-F00B-484F-A684-53B3FEB2CFF0}"/>
                    </c:ext>
                  </c:extLst>
                </c:dPt>
                <c:dPt>
                  <c:idx val="80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FF-F00B-484F-A684-53B3FEB2CFF0}"/>
                    </c:ext>
                  </c:extLst>
                </c:dPt>
                <c:dPt>
                  <c:idx val="80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01-F00B-484F-A684-53B3FEB2CFF0}"/>
                    </c:ext>
                  </c:extLst>
                </c:dPt>
                <c:dPt>
                  <c:idx val="80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03-F00B-484F-A684-53B3FEB2CFF0}"/>
                    </c:ext>
                  </c:extLst>
                </c:dPt>
                <c:dPt>
                  <c:idx val="81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05-F00B-484F-A684-53B3FEB2CFF0}"/>
                    </c:ext>
                  </c:extLst>
                </c:dPt>
                <c:dPt>
                  <c:idx val="81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07-F00B-484F-A684-53B3FEB2CFF0}"/>
                    </c:ext>
                  </c:extLst>
                </c:dPt>
                <c:dPt>
                  <c:idx val="81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09-F00B-484F-A684-53B3FEB2CFF0}"/>
                    </c:ext>
                  </c:extLst>
                </c:dPt>
                <c:dPt>
                  <c:idx val="81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0B-F00B-484F-A684-53B3FEB2CFF0}"/>
                    </c:ext>
                  </c:extLst>
                </c:dPt>
                <c:dPt>
                  <c:idx val="81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0D-F00B-484F-A684-53B3FEB2CFF0}"/>
                    </c:ext>
                  </c:extLst>
                </c:dPt>
                <c:dPt>
                  <c:idx val="81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0F-F00B-484F-A684-53B3FEB2CFF0}"/>
                    </c:ext>
                  </c:extLst>
                </c:dPt>
                <c:dPt>
                  <c:idx val="81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11-F00B-484F-A684-53B3FEB2CFF0}"/>
                    </c:ext>
                  </c:extLst>
                </c:dPt>
                <c:dPt>
                  <c:idx val="81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13-F00B-484F-A684-53B3FEB2CFF0}"/>
                    </c:ext>
                  </c:extLst>
                </c:dPt>
                <c:dPt>
                  <c:idx val="81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15-F00B-484F-A684-53B3FEB2CFF0}"/>
                    </c:ext>
                  </c:extLst>
                </c:dPt>
                <c:dPt>
                  <c:idx val="81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17-F00B-484F-A684-53B3FEB2CFF0}"/>
                    </c:ext>
                  </c:extLst>
                </c:dPt>
                <c:dPt>
                  <c:idx val="82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19-F00B-484F-A684-53B3FEB2CFF0}"/>
                    </c:ext>
                  </c:extLst>
                </c:dPt>
                <c:dPt>
                  <c:idx val="82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1B-F00B-484F-A684-53B3FEB2CFF0}"/>
                    </c:ext>
                  </c:extLst>
                </c:dPt>
                <c:dPt>
                  <c:idx val="82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1D-F00B-484F-A684-53B3FEB2CFF0}"/>
                    </c:ext>
                  </c:extLst>
                </c:dPt>
                <c:dPt>
                  <c:idx val="82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1F-F00B-484F-A684-53B3FEB2CFF0}"/>
                    </c:ext>
                  </c:extLst>
                </c:dPt>
                <c:dPt>
                  <c:idx val="82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21-F00B-484F-A684-53B3FEB2CFF0}"/>
                    </c:ext>
                  </c:extLst>
                </c:dPt>
                <c:dPt>
                  <c:idx val="82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23-F00B-484F-A684-53B3FEB2CFF0}"/>
                    </c:ext>
                  </c:extLst>
                </c:dPt>
                <c:dPt>
                  <c:idx val="82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25-F00B-484F-A684-53B3FEB2CFF0}"/>
                    </c:ext>
                  </c:extLst>
                </c:dPt>
                <c:dPt>
                  <c:idx val="82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27-F00B-484F-A684-53B3FEB2CFF0}"/>
                    </c:ext>
                  </c:extLst>
                </c:dPt>
                <c:dPt>
                  <c:idx val="82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29-F00B-484F-A684-53B3FEB2CFF0}"/>
                    </c:ext>
                  </c:extLst>
                </c:dPt>
                <c:dPt>
                  <c:idx val="82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2B-F00B-484F-A684-53B3FEB2CFF0}"/>
                    </c:ext>
                  </c:extLst>
                </c:dPt>
                <c:dPt>
                  <c:idx val="83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2D-F00B-484F-A684-53B3FEB2CFF0}"/>
                    </c:ext>
                  </c:extLst>
                </c:dPt>
                <c:dPt>
                  <c:idx val="83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2F-F00B-484F-A684-53B3FEB2CFF0}"/>
                    </c:ext>
                  </c:extLst>
                </c:dPt>
                <c:dPt>
                  <c:idx val="83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31-F00B-484F-A684-53B3FEB2CFF0}"/>
                    </c:ext>
                  </c:extLst>
                </c:dPt>
                <c:dPt>
                  <c:idx val="83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33-F00B-484F-A684-53B3FEB2CFF0}"/>
                    </c:ext>
                  </c:extLst>
                </c:dPt>
                <c:dPt>
                  <c:idx val="83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35-F00B-484F-A684-53B3FEB2CFF0}"/>
                    </c:ext>
                  </c:extLst>
                </c:dPt>
                <c:dPt>
                  <c:idx val="83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37-F00B-484F-A684-53B3FEB2CFF0}"/>
                    </c:ext>
                  </c:extLst>
                </c:dPt>
                <c:dPt>
                  <c:idx val="83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39-F00B-484F-A684-53B3FEB2CFF0}"/>
                    </c:ext>
                  </c:extLst>
                </c:dPt>
                <c:dPt>
                  <c:idx val="83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3B-F00B-484F-A684-53B3FEB2CFF0}"/>
                    </c:ext>
                  </c:extLst>
                </c:dPt>
                <c:dPt>
                  <c:idx val="83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3D-F00B-484F-A684-53B3FEB2CFF0}"/>
                    </c:ext>
                  </c:extLst>
                </c:dPt>
                <c:dPt>
                  <c:idx val="83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3F-F00B-484F-A684-53B3FEB2CFF0}"/>
                    </c:ext>
                  </c:extLst>
                </c:dPt>
                <c:dPt>
                  <c:idx val="84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41-F00B-484F-A684-53B3FEB2CFF0}"/>
                    </c:ext>
                  </c:extLst>
                </c:dPt>
                <c:dPt>
                  <c:idx val="84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43-F00B-484F-A684-53B3FEB2CFF0}"/>
                    </c:ext>
                  </c:extLst>
                </c:dPt>
                <c:dPt>
                  <c:idx val="84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45-F00B-484F-A684-53B3FEB2CFF0}"/>
                    </c:ext>
                  </c:extLst>
                </c:dPt>
                <c:dPt>
                  <c:idx val="843"/>
                  <c:bubble3D val="0"/>
                  <c:spPr>
                    <a:solidFill>
                      <a:schemeClr val="accent6">
                        <a:lumMod val="75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47-F00B-484F-A684-53B3FEB2CFF0}"/>
                    </c:ext>
                  </c:extLst>
                </c:dPt>
                <c:dPt>
                  <c:idx val="84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49-F00B-484F-A684-53B3FEB2CFF0}"/>
                    </c:ext>
                  </c:extLst>
                </c:dPt>
                <c:dPt>
                  <c:idx val="84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4B-F00B-484F-A684-53B3FEB2CFF0}"/>
                    </c:ext>
                  </c:extLst>
                </c:dPt>
                <c:dPt>
                  <c:idx val="84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4D-F00B-484F-A684-53B3FEB2CFF0}"/>
                    </c:ext>
                  </c:extLst>
                </c:dPt>
                <c:dPt>
                  <c:idx val="84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4F-F00B-484F-A684-53B3FEB2CFF0}"/>
                    </c:ext>
                  </c:extLst>
                </c:dPt>
                <c:dPt>
                  <c:idx val="848"/>
                  <c:bubble3D val="0"/>
                  <c:spPr>
                    <a:solidFill>
                      <a:srgbClr val="0099FF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51-F00B-484F-A684-53B3FEB2CFF0}"/>
                    </c:ext>
                  </c:extLst>
                </c:dPt>
                <c:dPt>
                  <c:idx val="84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53-F00B-484F-A684-53B3FEB2CFF0}"/>
                    </c:ext>
                  </c:extLst>
                </c:dPt>
                <c:dPt>
                  <c:idx val="85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55-F00B-484F-A684-53B3FEB2CFF0}"/>
                    </c:ext>
                  </c:extLst>
                </c:dPt>
                <c:dPt>
                  <c:idx val="851"/>
                  <c:bubble3D val="0"/>
                  <c:spPr>
                    <a:solidFill>
                      <a:schemeClr val="bg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57-F00B-484F-A684-53B3FEB2CFF0}"/>
                    </c:ext>
                  </c:extLst>
                </c:dPt>
                <c:dPt>
                  <c:idx val="85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59-F00B-484F-A684-53B3FEB2CFF0}"/>
                    </c:ext>
                  </c:extLst>
                </c:dPt>
                <c:dPt>
                  <c:idx val="853"/>
                  <c:bubble3D val="0"/>
                  <c:spPr>
                    <a:solidFill>
                      <a:srgbClr val="FFFF00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5B-F00B-484F-A684-53B3FEB2CFF0}"/>
                    </c:ext>
                  </c:extLst>
                </c:dPt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 cap="flat" cmpd="sng" algn="ctr">
                        <a:solidFill>
                          <a:schemeClr val="tx1">
                            <a:lumMod val="35000"/>
                            <a:lumOff val="65000"/>
                          </a:schemeClr>
                        </a:solidFill>
                        <a:round/>
                      </a:ln>
                      <a:effectLst/>
                    </c:spPr>
                  </c:leaderLines>
                  <c:extLst xmlns:c15="http://schemas.microsoft.com/office/drawing/2012/chart">
                    <c:ext xmlns:c15="http://schemas.microsoft.com/office/drawing/2012/chart" uri="{CE6537A1-D6FC-4f65-9D91-7224C49458BB}"/>
                  </c:extLst>
                </c:dLbls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('Données '!$C$199,'Données '!$E$199,'Données '!$G$199,'Données '!$I$199,'Données '!$K$199,'Données '!$M$199,'Données '!$O$199)</c15:sqref>
                        </c15:formulaRef>
                      </c:ext>
                    </c:extLst>
                    <c:strCache>
                      <c:ptCount val="7"/>
                      <c:pt idx="0">
                        <c:v>ESQ ==&gt; APD</c:v>
                      </c:pt>
                      <c:pt idx="1">
                        <c:v>Fin études/AO</c:v>
                      </c:pt>
                      <c:pt idx="2">
                        <c:v>OS</c:v>
                      </c:pt>
                      <c:pt idx="3">
                        <c:v>Travaux</c:v>
                      </c:pt>
                      <c:pt idx="4">
                        <c:v>GPA</c:v>
                      </c:pt>
                      <c:pt idx="5">
                        <c:v>Clôture défisc</c:v>
                      </c:pt>
                      <c:pt idx="6">
                        <c:v>STOP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('Données '!$C$201,'Données '!$E$201,'Données '!$G$201,'Données '!$I$201,'Données '!$K$201,'Données '!$M$201,'Données '!$O$201)</c15:sqref>
                        </c15:formulaRef>
                      </c:ext>
                    </c:extLst>
                    <c:numCache>
                      <c:formatCode>General</c:formatCode>
                      <c:ptCount val="7"/>
                      <c:pt idx="0">
                        <c:v>3</c:v>
                      </c:pt>
                      <c:pt idx="1">
                        <c:v>1</c:v>
                      </c:pt>
                      <c:pt idx="2">
                        <c:v>0</c:v>
                      </c:pt>
                      <c:pt idx="3">
                        <c:v>2</c:v>
                      </c:pt>
                      <c:pt idx="4">
                        <c:v>0</c:v>
                      </c:pt>
                      <c:pt idx="5">
                        <c:v>0</c:v>
                      </c:pt>
                      <c:pt idx="6">
                        <c:v>2</c:v>
                      </c:pt>
                    </c:numCache>
                  </c:numRef>
                </c:val>
                <c:extLst xmlns:c15="http://schemas.microsoft.com/office/drawing/2012/chart">
                  <c:ext xmlns:c16="http://schemas.microsoft.com/office/drawing/2014/chart" uri="{C3380CC4-5D6E-409C-BE32-E72D297353CC}">
                    <c16:uniqueId val="{00000142-D743-485C-85A8-46AAD4F995FD}"/>
                  </c:ext>
                </c:extLst>
              </c15:ser>
            </c15:filteredPieSeries>
          </c:ext>
        </c:extLst>
      </c:pieChart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66870628263447418"/>
          <c:y val="0.23119044358587379"/>
          <c:w val="0.33129363515343879"/>
          <c:h val="0.58084352459433986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0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3"/>
          <c:order val="3"/>
          <c:tx>
            <c:strRef>
              <c:f>'Données '!$B$203</c:f>
              <c:strCache>
                <c:ptCount val="1"/>
                <c:pt idx="0">
                  <c:v>DAM</c:v>
                </c:pt>
              </c:strCache>
            </c:strRef>
          </c:tx>
          <c:dPt>
            <c:idx val="0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5E67-4978-B68F-16B7A4D41EB8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5E67-4978-B68F-16B7A4D41EB8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80C1-492E-81C6-B4697D88B596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2172-432C-A4E6-1BD7D8978030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9-80C1-492E-81C6-B4697D88B596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86C2-40A7-9130-0F1C4BFDF6C5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D-80C1-492E-81C6-B4697D88B596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9-2172-432C-A4E6-1BD7D8978030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1-80C1-492E-81C6-B4697D88B596}"/>
              </c:ext>
            </c:extLst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2DCC-4328-AB1A-F3FFFF846A65}"/>
              </c:ext>
            </c:extLst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5-80C1-492E-81C6-B4697D88B596}"/>
              </c:ext>
            </c:extLst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D-2172-432C-A4E6-1BD7D8978030}"/>
              </c:ext>
            </c:extLst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9-86C2-40A7-9130-0F1C4BFDF6C5}"/>
              </c:ext>
            </c:extLst>
          </c:dPt>
          <c:dPt>
            <c:idx val="1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1-2172-432C-A4E6-1BD7D8978030}"/>
              </c:ext>
            </c:extLst>
          </c:dPt>
          <c:dPt>
            <c:idx val="1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5E67-4978-B68F-16B7A4D41EB8}"/>
              </c:ext>
            </c:extLst>
          </c:dPt>
          <c:dPt>
            <c:idx val="1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5-2172-432C-A4E6-1BD7D8978030}"/>
              </c:ext>
            </c:extLst>
          </c:dPt>
          <c:dPt>
            <c:idx val="1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D-86C2-40A7-9130-0F1C4BFDF6C5}"/>
              </c:ext>
            </c:extLst>
          </c:dPt>
          <c:dPt>
            <c:idx val="1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9-2DCC-4328-AB1A-F3FFFF846A65}"/>
              </c:ext>
            </c:extLst>
          </c:dPt>
          <c:dPt>
            <c:idx val="18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1-86C2-40A7-9130-0F1C4BFDF6C5}"/>
              </c:ext>
            </c:extLst>
          </c:dPt>
          <c:dPt>
            <c:idx val="19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B-851D-418A-BD70-216700392D59}"/>
              </c:ext>
            </c:extLst>
          </c:dPt>
          <c:dPt>
            <c:idx val="20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5-86C2-40A7-9130-0F1C4BFDF6C5}"/>
              </c:ext>
            </c:extLst>
          </c:dPt>
          <c:dPt>
            <c:idx val="21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B-7F02-4576-9F92-296890FB9370}"/>
              </c:ext>
            </c:extLst>
          </c:dPt>
          <c:dPt>
            <c:idx val="22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F-851D-418A-BD70-216700392D59}"/>
              </c:ext>
            </c:extLst>
          </c:dPt>
          <c:dPt>
            <c:idx val="23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B-1077-47D8-A292-E7BC267252AD}"/>
              </c:ext>
            </c:extLst>
          </c:dPt>
          <c:dPt>
            <c:idx val="2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F-7F02-4576-9F92-296890FB9370}"/>
              </c:ext>
            </c:extLst>
          </c:dPt>
          <c:dPt>
            <c:idx val="2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7-71B5-45C2-93C5-38A82E2287F0}"/>
              </c:ext>
            </c:extLst>
          </c:dPt>
          <c:dPt>
            <c:idx val="2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F-1077-47D8-A292-E7BC267252AD}"/>
              </c:ext>
            </c:extLst>
          </c:dPt>
          <c:dPt>
            <c:idx val="2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D-2DCC-4328-AB1A-F3FFFF846A65}"/>
              </c:ext>
            </c:extLst>
          </c:dPt>
          <c:dPt>
            <c:idx val="28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7-5E67-4978-B68F-16B7A4D41EB8}"/>
              </c:ext>
            </c:extLst>
          </c:dPt>
          <c:dPt>
            <c:idx val="29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1-2DCC-4328-AB1A-F3FFFF846A65}"/>
              </c:ext>
            </c:extLst>
          </c:dPt>
          <c:dPt>
            <c:idx val="30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B-8B27-4822-9AB8-CBD693E398B3}"/>
              </c:ext>
            </c:extLst>
          </c:dPt>
          <c:dPt>
            <c:idx val="31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5-2DCC-4328-AB1A-F3FFFF846A65}"/>
              </c:ext>
            </c:extLst>
          </c:dPt>
          <c:dPt>
            <c:idx val="32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B-3037-4232-8F3A-6B51DEFC6D36}"/>
              </c:ext>
            </c:extLst>
          </c:dPt>
          <c:dPt>
            <c:idx val="33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F-8B27-4822-9AB8-CBD693E398B3}"/>
              </c:ext>
            </c:extLst>
          </c:dPt>
          <c:dPt>
            <c:idx val="34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B-C349-4656-8A28-AADBB205242E}"/>
              </c:ext>
            </c:extLst>
          </c:dPt>
          <c:dPt>
            <c:idx val="35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F-3037-4232-8F3A-6B51DEFC6D36}"/>
              </c:ext>
            </c:extLst>
          </c:dPt>
          <c:dPt>
            <c:idx val="36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B-1969-424D-B9DB-D4AA8A653AEA}"/>
              </c:ext>
            </c:extLst>
          </c:dPt>
          <c:dPt>
            <c:idx val="37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F-C349-4656-8A28-AADBB205242E}"/>
              </c:ext>
            </c:extLst>
          </c:dPt>
          <c:dPt>
            <c:idx val="38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B-71B5-45C2-93C5-38A82E2287F0}"/>
              </c:ext>
            </c:extLst>
          </c:dPt>
          <c:dPt>
            <c:idx val="39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F-1969-424D-B9DB-D4AA8A653AEA}"/>
              </c:ext>
            </c:extLst>
          </c:dPt>
          <c:dPt>
            <c:idx val="40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9-5E67-4978-B68F-16B7A4D41EB8}"/>
              </c:ext>
            </c:extLst>
          </c:dPt>
          <c:dPt>
            <c:idx val="41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F-71B5-45C2-93C5-38A82E2287F0}"/>
              </c:ext>
            </c:extLst>
          </c:dPt>
          <c:dPt>
            <c:idx val="42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B-5E67-4978-B68F-16B7A4D41EB8}"/>
              </c:ext>
            </c:extLst>
          </c:dPt>
          <c:dPt>
            <c:idx val="43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3-71B5-45C2-93C5-38A82E2287F0}"/>
              </c:ext>
            </c:extLst>
          </c:dPt>
          <c:dPt>
            <c:idx val="44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D-E9BC-4DEB-906D-E5349207D230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('Données '!$C$199,'Données '!$E$199,'Données '!$G$199,'Données '!$I$199,'Données '!$K$199,'Données '!$M$199,'Données '!$O$199)</c:f>
              <c:strCache>
                <c:ptCount val="7"/>
                <c:pt idx="0">
                  <c:v>ESQ ==&gt; APD</c:v>
                </c:pt>
                <c:pt idx="1">
                  <c:v>Fin études/AO</c:v>
                </c:pt>
                <c:pt idx="2">
                  <c:v>OS</c:v>
                </c:pt>
                <c:pt idx="3">
                  <c:v>Travaux</c:v>
                </c:pt>
                <c:pt idx="4">
                  <c:v>GPA</c:v>
                </c:pt>
                <c:pt idx="5">
                  <c:v>Clôture défisc</c:v>
                </c:pt>
                <c:pt idx="6">
                  <c:v>STOP</c:v>
                </c:pt>
              </c:strCache>
            </c:strRef>
          </c:cat>
          <c:val>
            <c:numRef>
              <c:f>('Données '!$C$203,'Données '!$E$203,'Données '!$G$203,'Données '!$I$203,'Données '!$K$203,'Données '!$M$203,'Données '!$O$203)</c:f>
              <c:numCache>
                <c:formatCode>General</c:formatCode>
                <c:ptCount val="7"/>
                <c:pt idx="0">
                  <c:v>0</c:v>
                </c:pt>
                <c:pt idx="1">
                  <c:v>2</c:v>
                </c:pt>
                <c:pt idx="2">
                  <c:v>0</c:v>
                </c:pt>
                <c:pt idx="3">
                  <c:v>1</c:v>
                </c:pt>
                <c:pt idx="4">
                  <c:v>0</c:v>
                </c:pt>
                <c:pt idx="5">
                  <c:v>1</c:v>
                </c:pt>
                <c:pt idx="6">
                  <c:v>0</c:v>
                </c:pt>
              </c:numCache>
              <c:extLst/>
            </c:numRef>
          </c:val>
          <c:extLst>
            <c:ext xmlns:c16="http://schemas.microsoft.com/office/drawing/2014/chart" uri="{C3380CC4-5D6E-409C-BE32-E72D297353CC}">
              <c16:uniqueId val="{00001326-A7A9-4C9D-B771-16E74E8E82FB}"/>
            </c:ext>
          </c:extLst>
        </c:ser>
        <c:ser>
          <c:idx val="4"/>
          <c:order val="4"/>
          <c:tx>
            <c:strRef>
              <c:f>'Données '!$B$204</c:f>
              <c:strCache>
                <c:ptCount val="1"/>
                <c:pt idx="0">
                  <c:v>NLE</c:v>
                </c:pt>
              </c:strCache>
            </c:strRef>
          </c:tx>
          <c:dPt>
            <c:idx val="0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F-5E67-4978-B68F-16B7A4D41EB8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1-5E67-4978-B68F-16B7A4D41EB8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F-80C1-492E-81C6-B4697D88B596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5-2172-432C-A4E6-1BD7D8978030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3-80C1-492E-81C6-B4697D88B596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B-86C2-40A7-9130-0F1C4BFDF6C5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7-80C1-492E-81C6-B4697D88B596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9-2172-432C-A4E6-1BD7D8978030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B-80C1-492E-81C6-B4697D88B596}"/>
              </c:ext>
            </c:extLst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5-2DCC-4328-AB1A-F3FFFF846A65}"/>
              </c:ext>
            </c:extLst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F-80C1-492E-81C6-B4697D88B596}"/>
              </c:ext>
            </c:extLst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D-2172-432C-A4E6-1BD7D8978030}"/>
              </c:ext>
            </c:extLst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F-86C2-40A7-9130-0F1C4BFDF6C5}"/>
              </c:ext>
            </c:extLst>
          </c:dPt>
          <c:dPt>
            <c:idx val="1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1-2172-432C-A4E6-1BD7D8978030}"/>
              </c:ext>
            </c:extLst>
          </c:dPt>
          <c:dPt>
            <c:idx val="1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3-5E67-4978-B68F-16B7A4D41EB8}"/>
              </c:ext>
            </c:extLst>
          </c:dPt>
          <c:dPt>
            <c:idx val="1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5-2172-432C-A4E6-1BD7D8978030}"/>
              </c:ext>
            </c:extLst>
          </c:dPt>
          <c:dPt>
            <c:idx val="1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3-86C2-40A7-9130-0F1C4BFDF6C5}"/>
              </c:ext>
            </c:extLst>
          </c:dPt>
          <c:dPt>
            <c:idx val="1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9-2DCC-4328-AB1A-F3FFFF846A65}"/>
              </c:ext>
            </c:extLst>
          </c:dPt>
          <c:dPt>
            <c:idx val="18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7-86C2-40A7-9130-0F1C4BFDF6C5}"/>
              </c:ext>
            </c:extLst>
          </c:dPt>
          <c:dPt>
            <c:idx val="19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7-851D-418A-BD70-216700392D59}"/>
              </c:ext>
            </c:extLst>
          </c:dPt>
          <c:dPt>
            <c:idx val="20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B-86C2-40A7-9130-0F1C4BFDF6C5}"/>
              </c:ext>
            </c:extLst>
          </c:dPt>
          <c:dPt>
            <c:idx val="21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3-7F02-4576-9F92-296890FB9370}"/>
              </c:ext>
            </c:extLst>
          </c:dPt>
          <c:dPt>
            <c:idx val="22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B-851D-418A-BD70-216700392D59}"/>
              </c:ext>
            </c:extLst>
          </c:dPt>
          <c:dPt>
            <c:idx val="23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F-1077-47D8-A292-E7BC267252AD}"/>
              </c:ext>
            </c:extLst>
          </c:dPt>
          <c:dPt>
            <c:idx val="2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7-7F02-4576-9F92-296890FB9370}"/>
              </c:ext>
            </c:extLst>
          </c:dPt>
          <c:dPt>
            <c:idx val="2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D-71B5-45C2-93C5-38A82E2287F0}"/>
              </c:ext>
            </c:extLst>
          </c:dPt>
          <c:dPt>
            <c:idx val="2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3-1077-47D8-A292-E7BC267252AD}"/>
              </c:ext>
            </c:extLst>
          </c:dPt>
          <c:dPt>
            <c:idx val="2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D-2DCC-4328-AB1A-F3FFFF846A65}"/>
              </c:ext>
            </c:extLst>
          </c:dPt>
          <c:dPt>
            <c:idx val="28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5-5E67-4978-B68F-16B7A4D41EB8}"/>
              </c:ext>
            </c:extLst>
          </c:dPt>
          <c:dPt>
            <c:idx val="29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1-2DCC-4328-AB1A-F3FFFF846A65}"/>
              </c:ext>
            </c:extLst>
          </c:dPt>
          <c:dPt>
            <c:idx val="30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1-8B27-4822-9AB8-CBD693E398B3}"/>
              </c:ext>
            </c:extLst>
          </c:dPt>
          <c:dPt>
            <c:idx val="31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5-2DCC-4328-AB1A-F3FFFF846A65}"/>
              </c:ext>
            </c:extLst>
          </c:dPt>
          <c:dPt>
            <c:idx val="32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D-3037-4232-8F3A-6B51DEFC6D36}"/>
              </c:ext>
            </c:extLst>
          </c:dPt>
          <c:dPt>
            <c:idx val="33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5-8B27-4822-9AB8-CBD693E398B3}"/>
              </c:ext>
            </c:extLst>
          </c:dPt>
          <c:dPt>
            <c:idx val="34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9-C349-4656-8A28-AADBB205242E}"/>
              </c:ext>
            </c:extLst>
          </c:dPt>
          <c:dPt>
            <c:idx val="35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1-3037-4232-8F3A-6B51DEFC6D36}"/>
              </c:ext>
            </c:extLst>
          </c:dPt>
          <c:dPt>
            <c:idx val="36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5-1969-424D-B9DB-D4AA8A653AEA}"/>
              </c:ext>
            </c:extLst>
          </c:dPt>
          <c:dPt>
            <c:idx val="37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D-C349-4656-8A28-AADBB205242E}"/>
              </c:ext>
            </c:extLst>
          </c:dPt>
          <c:dPt>
            <c:idx val="38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1-71B5-45C2-93C5-38A82E2287F0}"/>
              </c:ext>
            </c:extLst>
          </c:dPt>
          <c:dPt>
            <c:idx val="39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9-1969-424D-B9DB-D4AA8A653AEA}"/>
              </c:ext>
            </c:extLst>
          </c:dPt>
          <c:dPt>
            <c:idx val="40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7-5E67-4978-B68F-16B7A4D41EB8}"/>
              </c:ext>
            </c:extLst>
          </c:dPt>
          <c:dPt>
            <c:idx val="41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5-71B5-45C2-93C5-38A82E2287F0}"/>
              </c:ext>
            </c:extLst>
          </c:dPt>
          <c:dPt>
            <c:idx val="42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9-5E67-4978-B68F-16B7A4D41EB8}"/>
              </c:ext>
            </c:extLst>
          </c:dPt>
          <c:dPt>
            <c:idx val="43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9-71B5-45C2-93C5-38A82E2287F0}"/>
              </c:ext>
            </c:extLst>
          </c:dPt>
          <c:dPt>
            <c:idx val="44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B-E9BC-4DEB-906D-E5349207D230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('Données '!$C$199,'Données '!$E$199,'Données '!$G$199,'Données '!$I$199,'Données '!$K$199,'Données '!$M$199,'Données '!$O$199)</c:f>
              <c:strCache>
                <c:ptCount val="7"/>
                <c:pt idx="0">
                  <c:v>ESQ ==&gt; APD</c:v>
                </c:pt>
                <c:pt idx="1">
                  <c:v>Fin études/AO</c:v>
                </c:pt>
                <c:pt idx="2">
                  <c:v>OS</c:v>
                </c:pt>
                <c:pt idx="3">
                  <c:v>Travaux</c:v>
                </c:pt>
                <c:pt idx="4">
                  <c:v>GPA</c:v>
                </c:pt>
                <c:pt idx="5">
                  <c:v>Clôture défisc</c:v>
                </c:pt>
                <c:pt idx="6">
                  <c:v>STOP</c:v>
                </c:pt>
              </c:strCache>
            </c:strRef>
          </c:cat>
          <c:val>
            <c:numRef>
              <c:f>('Données '!$C$204,'Données '!$E$204,'Données '!$G$204,'Données '!$I$204,'Données '!$K$204,'Données '!$M$204,'Données '!$O$204)</c:f>
              <c:numCache>
                <c:formatCode>General</c:formatCode>
                <c:ptCount val="7"/>
                <c:pt idx="0">
                  <c:v>0</c:v>
                </c:pt>
                <c:pt idx="1">
                  <c:v>4</c:v>
                </c:pt>
                <c:pt idx="2">
                  <c:v>0</c:v>
                </c:pt>
                <c:pt idx="3">
                  <c:v>2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  <c:extLst/>
            </c:numRef>
          </c:val>
          <c:extLst>
            <c:ext xmlns:c16="http://schemas.microsoft.com/office/drawing/2014/chart" uri="{C3380CC4-5D6E-409C-BE32-E72D297353CC}">
              <c16:uniqueId val="{00001327-A7A9-4C9D-B771-16E74E8E82FB}"/>
            </c:ext>
          </c:extLst>
        </c:ser>
        <c:ser>
          <c:idx val="5"/>
          <c:order val="5"/>
          <c:tx>
            <c:strRef>
              <c:f>'Données initiales'!#REF!</c:f>
              <c:strCache>
                <c:ptCount val="1"/>
                <c:pt idx="0">
                  <c:v>#REF!</c:v>
                </c:pt>
              </c:strCache>
            </c:strRef>
          </c:tx>
          <c:dPt>
            <c:idx val="0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D-5E67-4978-B68F-16B7A4D41EB8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F-5E67-4978-B68F-16B7A4D41EB8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B9-80C1-492E-81C6-B4697D88B596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A5-2172-432C-A4E6-1BD7D8978030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BD-80C1-492E-81C6-B4697D88B596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91-86C2-40A7-9130-0F1C4BFDF6C5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C1-80C1-492E-81C6-B4697D88B596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A9-2172-432C-A4E6-1BD7D8978030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C5-80C1-492E-81C6-B4697D88B596}"/>
              </c:ext>
            </c:extLst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5-2DCC-4328-AB1A-F3FFFF846A65}"/>
              </c:ext>
            </c:extLst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C9-80C1-492E-81C6-B4697D88B596}"/>
              </c:ext>
            </c:extLst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AD-2172-432C-A4E6-1BD7D8978030}"/>
              </c:ext>
            </c:extLst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95-86C2-40A7-9130-0F1C4BFDF6C5}"/>
              </c:ext>
            </c:extLst>
          </c:dPt>
          <c:dPt>
            <c:idx val="1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B1-2172-432C-A4E6-1BD7D8978030}"/>
              </c:ext>
            </c:extLst>
          </c:dPt>
          <c:dPt>
            <c:idx val="1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1-5E67-4978-B68F-16B7A4D41EB8}"/>
              </c:ext>
            </c:extLst>
          </c:dPt>
          <c:dPt>
            <c:idx val="1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B5-2172-432C-A4E6-1BD7D8978030}"/>
              </c:ext>
            </c:extLst>
          </c:dPt>
          <c:dPt>
            <c:idx val="1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99-86C2-40A7-9130-0F1C4BFDF6C5}"/>
              </c:ext>
            </c:extLst>
          </c:dPt>
          <c:dPt>
            <c:idx val="1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9-2DCC-4328-AB1A-F3FFFF846A65}"/>
              </c:ext>
            </c:extLst>
          </c:dPt>
          <c:dPt>
            <c:idx val="18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9D-86C2-40A7-9130-0F1C4BFDF6C5}"/>
              </c:ext>
            </c:extLst>
          </c:dPt>
          <c:dPt>
            <c:idx val="19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83-851D-418A-BD70-216700392D59}"/>
              </c:ext>
            </c:extLst>
          </c:dPt>
          <c:dPt>
            <c:idx val="20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A1-86C2-40A7-9130-0F1C4BFDF6C5}"/>
              </c:ext>
            </c:extLst>
          </c:dPt>
          <c:dPt>
            <c:idx val="21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B-7F02-4576-9F92-296890FB9370}"/>
              </c:ext>
            </c:extLst>
          </c:dPt>
          <c:dPt>
            <c:idx val="22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87-851D-418A-BD70-216700392D59}"/>
              </c:ext>
            </c:extLst>
          </c:dPt>
          <c:dPt>
            <c:idx val="23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3-1077-47D8-A292-E7BC267252AD}"/>
              </c:ext>
            </c:extLst>
          </c:dPt>
          <c:dPt>
            <c:idx val="2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F-7F02-4576-9F92-296890FB9370}"/>
              </c:ext>
            </c:extLst>
          </c:dPt>
          <c:dPt>
            <c:idx val="2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3-71B5-45C2-93C5-38A82E2287F0}"/>
              </c:ext>
            </c:extLst>
          </c:dPt>
          <c:dPt>
            <c:idx val="2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7-1077-47D8-A292-E7BC267252AD}"/>
              </c:ext>
            </c:extLst>
          </c:dPt>
          <c:dPt>
            <c:idx val="2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D-2DCC-4328-AB1A-F3FFFF846A65}"/>
              </c:ext>
            </c:extLst>
          </c:dPt>
          <c:dPt>
            <c:idx val="28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3-5E67-4978-B68F-16B7A4D41EB8}"/>
              </c:ext>
            </c:extLst>
          </c:dPt>
          <c:dPt>
            <c:idx val="29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1-2DCC-4328-AB1A-F3FFFF846A65}"/>
              </c:ext>
            </c:extLst>
          </c:dPt>
          <c:dPt>
            <c:idx val="30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7-8B27-4822-9AB8-CBD693E398B3}"/>
              </c:ext>
            </c:extLst>
          </c:dPt>
          <c:dPt>
            <c:idx val="31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5-2DCC-4328-AB1A-F3FFFF846A65}"/>
              </c:ext>
            </c:extLst>
          </c:dPt>
          <c:dPt>
            <c:idx val="32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F-3037-4232-8F3A-6B51DEFC6D36}"/>
              </c:ext>
            </c:extLst>
          </c:dPt>
          <c:dPt>
            <c:idx val="33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B-8B27-4822-9AB8-CBD693E398B3}"/>
              </c:ext>
            </c:extLst>
          </c:dPt>
          <c:dPt>
            <c:idx val="34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7-C349-4656-8A28-AADBB205242E}"/>
              </c:ext>
            </c:extLst>
          </c:dPt>
          <c:dPt>
            <c:idx val="35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3-3037-4232-8F3A-6B51DEFC6D36}"/>
              </c:ext>
            </c:extLst>
          </c:dPt>
          <c:dPt>
            <c:idx val="36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F-1969-424D-B9DB-D4AA8A653AEA}"/>
              </c:ext>
            </c:extLst>
          </c:dPt>
          <c:dPt>
            <c:idx val="37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B-C349-4656-8A28-AADBB205242E}"/>
              </c:ext>
            </c:extLst>
          </c:dPt>
          <c:dPt>
            <c:idx val="38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7-71B5-45C2-93C5-38A82E2287F0}"/>
              </c:ext>
            </c:extLst>
          </c:dPt>
          <c:dPt>
            <c:idx val="39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3-1969-424D-B9DB-D4AA8A653AEA}"/>
              </c:ext>
            </c:extLst>
          </c:dPt>
          <c:dPt>
            <c:idx val="40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5-5E67-4978-B68F-16B7A4D41EB8}"/>
              </c:ext>
            </c:extLst>
          </c:dPt>
          <c:dPt>
            <c:idx val="41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B-71B5-45C2-93C5-38A82E2287F0}"/>
              </c:ext>
            </c:extLst>
          </c:dPt>
          <c:dPt>
            <c:idx val="42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7-5E67-4978-B68F-16B7A4D41EB8}"/>
              </c:ext>
            </c:extLst>
          </c:dPt>
          <c:dPt>
            <c:idx val="43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F-71B5-45C2-93C5-38A82E2287F0}"/>
              </c:ext>
            </c:extLst>
          </c:dPt>
          <c:dPt>
            <c:idx val="44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9-E9BC-4DEB-906D-E5349207D230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('Données '!$C$199,'Données '!$E$199,'Données '!$G$199,'Données '!$I$199,'Données '!$K$199,'Données '!$M$199,'Données '!$O$199)</c:f>
              <c:strCache>
                <c:ptCount val="7"/>
                <c:pt idx="0">
                  <c:v>ESQ ==&gt; APD</c:v>
                </c:pt>
                <c:pt idx="1">
                  <c:v>Fin études/AO</c:v>
                </c:pt>
                <c:pt idx="2">
                  <c:v>OS</c:v>
                </c:pt>
                <c:pt idx="3">
                  <c:v>Travaux</c:v>
                </c:pt>
                <c:pt idx="4">
                  <c:v>GPA</c:v>
                </c:pt>
                <c:pt idx="5">
                  <c:v>Clôture défisc</c:v>
                </c:pt>
                <c:pt idx="6">
                  <c:v>STOP</c:v>
                </c:pt>
              </c:strCache>
            </c:strRef>
          </c:cat>
          <c:val>
            <c:numRef>
              <c:f>'Données initiales'!#REF!</c:f>
              <c:numCache>
                <c:formatCode>General</c:formatCode>
                <c:ptCount val="1"/>
                <c:pt idx="0">
                  <c:v>1</c:v>
                </c:pt>
              </c:numCache>
              <c:extLst/>
            </c:numRef>
          </c:val>
          <c:extLst>
            <c:ext xmlns:c16="http://schemas.microsoft.com/office/drawing/2014/chart" uri="{C3380CC4-5D6E-409C-BE32-E72D297353CC}">
              <c16:uniqueId val="{00001328-A7A9-4C9D-B771-16E74E8E82FB}"/>
            </c:ext>
          </c:extLst>
        </c:ser>
        <c:ser>
          <c:idx val="6"/>
          <c:order val="6"/>
          <c:tx>
            <c:strRef>
              <c:f>'Données '!$B$205</c:f>
              <c:strCache>
                <c:ptCount val="1"/>
                <c:pt idx="0">
                  <c:v>SRI</c:v>
                </c:pt>
              </c:strCache>
            </c:strRef>
          </c:tx>
          <c:dPt>
            <c:idx val="0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B-5E67-4978-B68F-16B7A4D41EB8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D-5E67-4978-B68F-16B7A4D41EB8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13-80C1-492E-81C6-B4697D88B596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F5-2172-432C-A4E6-1BD7D8978030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17-80C1-492E-81C6-B4697D88B596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D7-86C2-40A7-9130-0F1C4BFDF6C5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1B-80C1-492E-81C6-B4697D88B596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F9-2172-432C-A4E6-1BD7D8978030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1F-80C1-492E-81C6-B4697D88B596}"/>
              </c:ext>
            </c:extLst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95-2DCC-4328-AB1A-F3FFFF846A65}"/>
              </c:ext>
            </c:extLst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23-80C1-492E-81C6-B4697D88B596}"/>
              </c:ext>
            </c:extLst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FD-2172-432C-A4E6-1BD7D8978030}"/>
              </c:ext>
            </c:extLst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DB-86C2-40A7-9130-0F1C4BFDF6C5}"/>
              </c:ext>
            </c:extLst>
          </c:dPt>
          <c:dPt>
            <c:idx val="1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01-2172-432C-A4E6-1BD7D8978030}"/>
              </c:ext>
            </c:extLst>
          </c:dPt>
          <c:dPt>
            <c:idx val="1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F-5E67-4978-B68F-16B7A4D41EB8}"/>
              </c:ext>
            </c:extLst>
          </c:dPt>
          <c:dPt>
            <c:idx val="1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05-2172-432C-A4E6-1BD7D8978030}"/>
              </c:ext>
            </c:extLst>
          </c:dPt>
          <c:dPt>
            <c:idx val="1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DF-86C2-40A7-9130-0F1C4BFDF6C5}"/>
              </c:ext>
            </c:extLst>
          </c:dPt>
          <c:dPt>
            <c:idx val="1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99-2DCC-4328-AB1A-F3FFFF846A65}"/>
              </c:ext>
            </c:extLst>
          </c:dPt>
          <c:dPt>
            <c:idx val="18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E3-86C2-40A7-9130-0F1C4BFDF6C5}"/>
              </c:ext>
            </c:extLst>
          </c:dPt>
          <c:dPt>
            <c:idx val="19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BF-851D-418A-BD70-216700392D59}"/>
              </c:ext>
            </c:extLst>
          </c:dPt>
          <c:dPt>
            <c:idx val="20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E7-86C2-40A7-9130-0F1C4BFDF6C5}"/>
              </c:ext>
            </c:extLst>
          </c:dPt>
          <c:dPt>
            <c:idx val="21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B3-7F02-4576-9F92-296890FB9370}"/>
              </c:ext>
            </c:extLst>
          </c:dPt>
          <c:dPt>
            <c:idx val="22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C3-851D-418A-BD70-216700392D59}"/>
              </c:ext>
            </c:extLst>
          </c:dPt>
          <c:dPt>
            <c:idx val="23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A7-1077-47D8-A292-E7BC267252AD}"/>
              </c:ext>
            </c:extLst>
          </c:dPt>
          <c:dPt>
            <c:idx val="2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B7-7F02-4576-9F92-296890FB9370}"/>
              </c:ext>
            </c:extLst>
          </c:dPt>
          <c:dPt>
            <c:idx val="2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9-71B5-45C2-93C5-38A82E2287F0}"/>
              </c:ext>
            </c:extLst>
          </c:dPt>
          <c:dPt>
            <c:idx val="2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AB-1077-47D8-A292-E7BC267252AD}"/>
              </c:ext>
            </c:extLst>
          </c:dPt>
          <c:dPt>
            <c:idx val="2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9D-2DCC-4328-AB1A-F3FFFF846A65}"/>
              </c:ext>
            </c:extLst>
          </c:dPt>
          <c:dPt>
            <c:idx val="28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1-5E67-4978-B68F-16B7A4D41EB8}"/>
              </c:ext>
            </c:extLst>
          </c:dPt>
          <c:dPt>
            <c:idx val="29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A1-2DCC-4328-AB1A-F3FFFF846A65}"/>
              </c:ext>
            </c:extLst>
          </c:dPt>
          <c:dPt>
            <c:idx val="30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D-8B27-4822-9AB8-CBD693E398B3}"/>
              </c:ext>
            </c:extLst>
          </c:dPt>
          <c:dPt>
            <c:idx val="31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A5-2DCC-4328-AB1A-F3FFFF846A65}"/>
              </c:ext>
            </c:extLst>
          </c:dPt>
          <c:dPt>
            <c:idx val="32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1-3037-4232-8F3A-6B51DEFC6D36}"/>
              </c:ext>
            </c:extLst>
          </c:dPt>
          <c:dPt>
            <c:idx val="33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81-8B27-4822-9AB8-CBD693E398B3}"/>
              </c:ext>
            </c:extLst>
          </c:dPt>
          <c:dPt>
            <c:idx val="34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5-C349-4656-8A28-AADBB205242E}"/>
              </c:ext>
            </c:extLst>
          </c:dPt>
          <c:dPt>
            <c:idx val="35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5-3037-4232-8F3A-6B51DEFC6D36}"/>
              </c:ext>
            </c:extLst>
          </c:dPt>
          <c:dPt>
            <c:idx val="36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9-1969-424D-B9DB-D4AA8A653AEA}"/>
              </c:ext>
            </c:extLst>
          </c:dPt>
          <c:dPt>
            <c:idx val="37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9-C349-4656-8A28-AADBB205242E}"/>
              </c:ext>
            </c:extLst>
          </c:dPt>
          <c:dPt>
            <c:idx val="38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D-71B5-45C2-93C5-38A82E2287F0}"/>
              </c:ext>
            </c:extLst>
          </c:dPt>
          <c:dPt>
            <c:idx val="39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D-1969-424D-B9DB-D4AA8A653AEA}"/>
              </c:ext>
            </c:extLst>
          </c:dPt>
          <c:dPt>
            <c:idx val="40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3-5E67-4978-B68F-16B7A4D41EB8}"/>
              </c:ext>
            </c:extLst>
          </c:dPt>
          <c:dPt>
            <c:idx val="41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1-71B5-45C2-93C5-38A82E2287F0}"/>
              </c:ext>
            </c:extLst>
          </c:dPt>
          <c:dPt>
            <c:idx val="42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5-5E67-4978-B68F-16B7A4D41EB8}"/>
              </c:ext>
            </c:extLst>
          </c:dPt>
          <c:dPt>
            <c:idx val="43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5-71B5-45C2-93C5-38A82E2287F0}"/>
              </c:ext>
            </c:extLst>
          </c:dPt>
          <c:dPt>
            <c:idx val="44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7-E9BC-4DEB-906D-E5349207D230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('Données '!$C$199,'Données '!$E$199,'Données '!$G$199,'Données '!$I$199,'Données '!$K$199,'Données '!$M$199,'Données '!$O$199)</c:f>
              <c:strCache>
                <c:ptCount val="7"/>
                <c:pt idx="0">
                  <c:v>ESQ ==&gt; APD</c:v>
                </c:pt>
                <c:pt idx="1">
                  <c:v>Fin études/AO</c:v>
                </c:pt>
                <c:pt idx="2">
                  <c:v>OS</c:v>
                </c:pt>
                <c:pt idx="3">
                  <c:v>Travaux</c:v>
                </c:pt>
                <c:pt idx="4">
                  <c:v>GPA</c:v>
                </c:pt>
                <c:pt idx="5">
                  <c:v>Clôture défisc</c:v>
                </c:pt>
                <c:pt idx="6">
                  <c:v>STOP</c:v>
                </c:pt>
              </c:strCache>
            </c:strRef>
          </c:cat>
          <c:val>
            <c:numRef>
              <c:f>('Données '!$C$205,'Données '!$E$205,'Données '!$G$205,'Données '!$I$205,'Données '!$K$205,'Données '!$M$205,'Données '!$O$205)</c:f>
              <c:numCache>
                <c:formatCode>General</c:formatCode>
                <c:ptCount val="7"/>
                <c:pt idx="0">
                  <c:v>1</c:v>
                </c:pt>
                <c:pt idx="1">
                  <c:v>0</c:v>
                </c:pt>
                <c:pt idx="2">
                  <c:v>0</c:v>
                </c:pt>
                <c:pt idx="3">
                  <c:v>2</c:v>
                </c:pt>
                <c:pt idx="4">
                  <c:v>0</c:v>
                </c:pt>
                <c:pt idx="5">
                  <c:v>1</c:v>
                </c:pt>
                <c:pt idx="6">
                  <c:v>0</c:v>
                </c:pt>
              </c:numCache>
              <c:extLst/>
            </c:numRef>
          </c:val>
          <c:extLst>
            <c:ext xmlns:c16="http://schemas.microsoft.com/office/drawing/2014/chart" uri="{C3380CC4-5D6E-409C-BE32-E72D297353CC}">
              <c16:uniqueId val="{00001329-A7A9-4C9D-B771-16E74E8E82FB}"/>
            </c:ext>
          </c:extLst>
        </c:ser>
        <c:ser>
          <c:idx val="7"/>
          <c:order val="7"/>
          <c:tx>
            <c:strRef>
              <c:f>'Données '!$B$206</c:f>
              <c:strCache>
                <c:ptCount val="1"/>
                <c:pt idx="0">
                  <c:v>VAF</c:v>
                </c:pt>
              </c:strCache>
            </c:strRef>
          </c:tx>
          <c:dPt>
            <c:idx val="0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9-5E67-4978-B68F-16B7A4D41EB8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B-5E67-4978-B68F-16B7A4D41EB8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6D-80C1-492E-81C6-B4697D88B596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45-2172-432C-A4E6-1BD7D8978030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71-80C1-492E-81C6-B4697D88B596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1D-86C2-40A7-9130-0F1C4BFDF6C5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75-80C1-492E-81C6-B4697D88B596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49-2172-432C-A4E6-1BD7D8978030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79-80C1-492E-81C6-B4697D88B596}"/>
              </c:ext>
            </c:extLst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C5-2DCC-4328-AB1A-F3FFFF846A65}"/>
              </c:ext>
            </c:extLst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7D-80C1-492E-81C6-B4697D88B596}"/>
              </c:ext>
            </c:extLst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4D-2172-432C-A4E6-1BD7D8978030}"/>
              </c:ext>
            </c:extLst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21-86C2-40A7-9130-0F1C4BFDF6C5}"/>
              </c:ext>
            </c:extLst>
          </c:dPt>
          <c:dPt>
            <c:idx val="1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51-2172-432C-A4E6-1BD7D8978030}"/>
              </c:ext>
            </c:extLst>
          </c:dPt>
          <c:dPt>
            <c:idx val="1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D-5E67-4978-B68F-16B7A4D41EB8}"/>
              </c:ext>
            </c:extLst>
          </c:dPt>
          <c:dPt>
            <c:idx val="1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55-2172-432C-A4E6-1BD7D8978030}"/>
              </c:ext>
            </c:extLst>
          </c:dPt>
          <c:dPt>
            <c:idx val="1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25-86C2-40A7-9130-0F1C4BFDF6C5}"/>
              </c:ext>
            </c:extLst>
          </c:dPt>
          <c:dPt>
            <c:idx val="1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C9-2DCC-4328-AB1A-F3FFFF846A65}"/>
              </c:ext>
            </c:extLst>
          </c:dPt>
          <c:dPt>
            <c:idx val="18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29-86C2-40A7-9130-0F1C4BFDF6C5}"/>
              </c:ext>
            </c:extLst>
          </c:dPt>
          <c:dPt>
            <c:idx val="19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FB-851D-418A-BD70-216700392D59}"/>
              </c:ext>
            </c:extLst>
          </c:dPt>
          <c:dPt>
            <c:idx val="20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2D-86C2-40A7-9130-0F1C4BFDF6C5}"/>
              </c:ext>
            </c:extLst>
          </c:dPt>
          <c:dPt>
            <c:idx val="21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EB-7F02-4576-9F92-296890FB9370}"/>
              </c:ext>
            </c:extLst>
          </c:dPt>
          <c:dPt>
            <c:idx val="22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FF-851D-418A-BD70-216700392D59}"/>
              </c:ext>
            </c:extLst>
          </c:dPt>
          <c:dPt>
            <c:idx val="23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DB-1077-47D8-A292-E7BC267252AD}"/>
              </c:ext>
            </c:extLst>
          </c:dPt>
          <c:dPt>
            <c:idx val="2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EF-7F02-4576-9F92-296890FB9370}"/>
              </c:ext>
            </c:extLst>
          </c:dPt>
          <c:dPt>
            <c:idx val="2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F-71B5-45C2-93C5-38A82E2287F0}"/>
              </c:ext>
            </c:extLst>
          </c:dPt>
          <c:dPt>
            <c:idx val="2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DF-1077-47D8-A292-E7BC267252AD}"/>
              </c:ext>
            </c:extLst>
          </c:dPt>
          <c:dPt>
            <c:idx val="2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CD-2DCC-4328-AB1A-F3FFFF846A65}"/>
              </c:ext>
            </c:extLst>
          </c:dPt>
          <c:dPt>
            <c:idx val="28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F-5E67-4978-B68F-16B7A4D41EB8}"/>
              </c:ext>
            </c:extLst>
          </c:dPt>
          <c:dPt>
            <c:idx val="29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D1-2DCC-4328-AB1A-F3FFFF846A65}"/>
              </c:ext>
            </c:extLst>
          </c:dPt>
          <c:dPt>
            <c:idx val="30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A3-8B27-4822-9AB8-CBD693E398B3}"/>
              </c:ext>
            </c:extLst>
          </c:dPt>
          <c:dPt>
            <c:idx val="31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D5-2DCC-4328-AB1A-F3FFFF846A65}"/>
              </c:ext>
            </c:extLst>
          </c:dPt>
          <c:dPt>
            <c:idx val="32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93-3037-4232-8F3A-6B51DEFC6D36}"/>
              </c:ext>
            </c:extLst>
          </c:dPt>
          <c:dPt>
            <c:idx val="33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A7-8B27-4822-9AB8-CBD693E398B3}"/>
              </c:ext>
            </c:extLst>
          </c:dPt>
          <c:dPt>
            <c:idx val="34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83-C349-4656-8A28-AADBB205242E}"/>
              </c:ext>
            </c:extLst>
          </c:dPt>
          <c:dPt>
            <c:idx val="35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97-3037-4232-8F3A-6B51DEFC6D36}"/>
              </c:ext>
            </c:extLst>
          </c:dPt>
          <c:dPt>
            <c:idx val="36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3-1969-424D-B9DB-D4AA8A653AEA}"/>
              </c:ext>
            </c:extLst>
          </c:dPt>
          <c:dPt>
            <c:idx val="37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87-C349-4656-8A28-AADBB205242E}"/>
              </c:ext>
            </c:extLst>
          </c:dPt>
          <c:dPt>
            <c:idx val="38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3-71B5-45C2-93C5-38A82E2287F0}"/>
              </c:ext>
            </c:extLst>
          </c:dPt>
          <c:dPt>
            <c:idx val="39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7-1969-424D-B9DB-D4AA8A653AEA}"/>
              </c:ext>
            </c:extLst>
          </c:dPt>
          <c:dPt>
            <c:idx val="40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1-5E67-4978-B68F-16B7A4D41EB8}"/>
              </c:ext>
            </c:extLst>
          </c:dPt>
          <c:dPt>
            <c:idx val="41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7-71B5-45C2-93C5-38A82E2287F0}"/>
              </c:ext>
            </c:extLst>
          </c:dPt>
          <c:dPt>
            <c:idx val="42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3-5E67-4978-B68F-16B7A4D41EB8}"/>
              </c:ext>
            </c:extLst>
          </c:dPt>
          <c:dPt>
            <c:idx val="43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B-71B5-45C2-93C5-38A82E2287F0}"/>
              </c:ext>
            </c:extLst>
          </c:dPt>
          <c:dPt>
            <c:idx val="44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5-E9BC-4DEB-906D-E5349207D230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('Données '!$C$199,'Données '!$E$199,'Données '!$G$199,'Données '!$I$199,'Données '!$K$199,'Données '!$M$199,'Données '!$O$199)</c:f>
              <c:strCache>
                <c:ptCount val="7"/>
                <c:pt idx="0">
                  <c:v>ESQ ==&gt; APD</c:v>
                </c:pt>
                <c:pt idx="1">
                  <c:v>Fin études/AO</c:v>
                </c:pt>
                <c:pt idx="2">
                  <c:v>OS</c:v>
                </c:pt>
                <c:pt idx="3">
                  <c:v>Travaux</c:v>
                </c:pt>
                <c:pt idx="4">
                  <c:v>GPA</c:v>
                </c:pt>
                <c:pt idx="5">
                  <c:v>Clôture défisc</c:v>
                </c:pt>
                <c:pt idx="6">
                  <c:v>STOP</c:v>
                </c:pt>
              </c:strCache>
            </c:strRef>
          </c:cat>
          <c:val>
            <c:numRef>
              <c:f>('Données '!$C$206,'Données '!$E$206,'Données '!$G$206,'Données '!$I$206,'Données '!$K$206,'Données '!$M$206,'Données '!$O$206)</c:f>
              <c:numCache>
                <c:formatCode>General</c:formatCode>
                <c:ptCount val="7"/>
                <c:pt idx="0">
                  <c:v>2</c:v>
                </c:pt>
                <c:pt idx="1">
                  <c:v>1</c:v>
                </c:pt>
                <c:pt idx="2">
                  <c:v>0</c:v>
                </c:pt>
                <c:pt idx="3">
                  <c:v>3</c:v>
                </c:pt>
                <c:pt idx="4">
                  <c:v>3</c:v>
                </c:pt>
                <c:pt idx="5">
                  <c:v>1</c:v>
                </c:pt>
                <c:pt idx="6">
                  <c:v>0</c:v>
                </c:pt>
              </c:numCache>
              <c:extLst/>
            </c:numRef>
          </c:val>
          <c:extLst>
            <c:ext xmlns:c16="http://schemas.microsoft.com/office/drawing/2014/chart" uri="{C3380CC4-5D6E-409C-BE32-E72D297353CC}">
              <c16:uniqueId val="{0000132A-A7A9-4C9D-B771-16E74E8E82FB}"/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  <c:extLst>
          <c:ext xmlns:c15="http://schemas.microsoft.com/office/drawing/2012/chart" uri="{02D57815-91ED-43cb-92C2-25804820EDAC}">
            <c15:filteredPieSeries>
              <c15:ser>
                <c:idx val="0"/>
                <c:order val="0"/>
                <c:tx>
                  <c:strRef>
                    <c:extLst>
                      <c:ext uri="{02D57815-91ED-43cb-92C2-25804820EDAC}">
                        <c15:formulaRef>
                          <c15:sqref>'Données '!$B$200</c15:sqref>
                        </c15:formulaRef>
                      </c:ext>
                    </c:extLst>
                    <c:strCache>
                      <c:ptCount val="1"/>
                      <c:pt idx="0">
                        <c:v>DBE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1367-BB14-480A-9256-E28CC6689494}"/>
                    </c:ext>
                  </c:extLst>
                </c:dPt>
                <c:dPt>
                  <c:idx val="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49-5E67-4978-B68F-16B7A4D41EB8}"/>
                    </c:ext>
                  </c:extLst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C7-80C1-492E-81C6-B4697D88B596}"/>
                    </c:ext>
                  </c:extLst>
                </c:dPt>
                <c:dPt>
                  <c:idx val="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95-2172-432C-A4E6-1BD7D8978030}"/>
                    </c:ext>
                  </c:extLst>
                </c:dPt>
                <c:dPt>
                  <c:idx val="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CB-80C1-492E-81C6-B4697D88B596}"/>
                    </c:ext>
                  </c:extLst>
                </c:dPt>
                <c:dPt>
                  <c:idx val="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63-86C2-40A7-9130-0F1C4BFDF6C5}"/>
                    </c:ext>
                  </c:extLst>
                </c:dPt>
                <c:dPt>
                  <c:idx val="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CF-80C1-492E-81C6-B4697D88B596}"/>
                    </c:ext>
                  </c:extLst>
                </c:dPt>
                <c:dPt>
                  <c:idx val="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99-2172-432C-A4E6-1BD7D8978030}"/>
                    </c:ext>
                  </c:extLst>
                </c:dPt>
                <c:dPt>
                  <c:idx val="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D3-80C1-492E-81C6-B4697D88B596}"/>
                    </c:ext>
                  </c:extLst>
                </c:dPt>
                <c:dPt>
                  <c:idx val="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F5-2DCC-4328-AB1A-F3FFFF846A65}"/>
                    </c:ext>
                  </c:extLst>
                </c:dPt>
                <c:dPt>
                  <c:idx val="1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D7-80C1-492E-81C6-B4697D88B596}"/>
                    </c:ext>
                  </c:extLst>
                </c:dPt>
                <c:dPt>
                  <c:idx val="1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9D-2172-432C-A4E6-1BD7D8978030}"/>
                    </c:ext>
                  </c:extLst>
                </c:dPt>
                <c:dPt>
                  <c:idx val="1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67-86C2-40A7-9130-0F1C4BFDF6C5}"/>
                    </c:ext>
                  </c:extLst>
                </c:dPt>
                <c:dPt>
                  <c:idx val="1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A1-2172-432C-A4E6-1BD7D8978030}"/>
                    </c:ext>
                  </c:extLst>
                </c:dPt>
                <c:dPt>
                  <c:idx val="1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4B-5E67-4978-B68F-16B7A4D41EB8}"/>
                    </c:ext>
                  </c:extLst>
                </c:dPt>
                <c:dPt>
                  <c:idx val="1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A5-2172-432C-A4E6-1BD7D8978030}"/>
                    </c:ext>
                  </c:extLst>
                </c:dPt>
                <c:dPt>
                  <c:idx val="1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6B-86C2-40A7-9130-0F1C4BFDF6C5}"/>
                    </c:ext>
                  </c:extLst>
                </c:dPt>
                <c:dPt>
                  <c:idx val="1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F9-2DCC-4328-AB1A-F3FFFF846A65}"/>
                    </c:ext>
                  </c:extLst>
                </c:dPt>
                <c:dPt>
                  <c:idx val="1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6F-86C2-40A7-9130-0F1C4BFDF6C5}"/>
                    </c:ext>
                  </c:extLst>
                </c:dPt>
                <c:dPt>
                  <c:idx val="1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37-851D-418A-BD70-216700392D59}"/>
                    </c:ext>
                  </c:extLst>
                </c:dPt>
                <c:dPt>
                  <c:idx val="2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73-86C2-40A7-9130-0F1C4BFDF6C5}"/>
                    </c:ext>
                  </c:extLst>
                </c:dPt>
                <c:dPt>
                  <c:idx val="2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23-7F02-4576-9F92-296890FB9370}"/>
                    </c:ext>
                  </c:extLst>
                </c:dPt>
                <c:dPt>
                  <c:idx val="2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3B-851D-418A-BD70-216700392D59}"/>
                    </c:ext>
                  </c:extLst>
                </c:dPt>
                <c:dPt>
                  <c:idx val="2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0F-1077-47D8-A292-E7BC267252AD}"/>
                    </c:ext>
                  </c:extLst>
                </c:dPt>
                <c:dPt>
                  <c:idx val="2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27-7F02-4576-9F92-296890FB9370}"/>
                    </c:ext>
                  </c:extLst>
                </c:dPt>
                <c:dPt>
                  <c:idx val="2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75-71B5-45C2-93C5-38A82E2287F0}"/>
                    </c:ext>
                  </c:extLst>
                </c:dPt>
                <c:dPt>
                  <c:idx val="2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13-1077-47D8-A292-E7BC267252AD}"/>
                    </c:ext>
                  </c:extLst>
                </c:dPt>
                <c:dPt>
                  <c:idx val="2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FD-2DCC-4328-AB1A-F3FFFF846A65}"/>
                    </c:ext>
                  </c:extLst>
                </c:dPt>
                <c:dPt>
                  <c:idx val="2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4D-5E67-4978-B68F-16B7A4D41EB8}"/>
                    </c:ext>
                  </c:extLst>
                </c:dPt>
                <c:dPt>
                  <c:idx val="2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01-2DCC-4328-AB1A-F3FFFF846A65}"/>
                    </c:ext>
                  </c:extLst>
                </c:dPt>
                <c:dPt>
                  <c:idx val="3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C9-8B27-4822-9AB8-CBD693E398B3}"/>
                    </c:ext>
                  </c:extLst>
                </c:dPt>
                <c:dPt>
                  <c:idx val="3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05-2DCC-4328-AB1A-F3FFFF846A65}"/>
                    </c:ext>
                  </c:extLst>
                </c:dPt>
                <c:dPt>
                  <c:idx val="3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B5-3037-4232-8F3A-6B51DEFC6D36}"/>
                    </c:ext>
                  </c:extLst>
                </c:dPt>
                <c:dPt>
                  <c:idx val="3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CD-8B27-4822-9AB8-CBD693E398B3}"/>
                    </c:ext>
                  </c:extLst>
                </c:dPt>
                <c:dPt>
                  <c:idx val="3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A1-C349-4656-8A28-AADBB205242E}"/>
                    </c:ext>
                  </c:extLst>
                </c:dPt>
                <c:dPt>
                  <c:idx val="3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B9-3037-4232-8F3A-6B51DEFC6D36}"/>
                    </c:ext>
                  </c:extLst>
                </c:dPt>
                <c:dPt>
                  <c:idx val="3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8D-1969-424D-B9DB-D4AA8A653AEA}"/>
                    </c:ext>
                  </c:extLst>
                </c:dPt>
                <c:dPt>
                  <c:idx val="3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A5-C349-4656-8A28-AADBB205242E}"/>
                    </c:ext>
                  </c:extLst>
                </c:dPt>
                <c:dPt>
                  <c:idx val="3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79-71B5-45C2-93C5-38A82E2287F0}"/>
                    </c:ext>
                  </c:extLst>
                </c:dPt>
                <c:dPt>
                  <c:idx val="3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91-1969-424D-B9DB-D4AA8A653AEA}"/>
                    </c:ext>
                  </c:extLst>
                </c:dPt>
                <c:dPt>
                  <c:idx val="4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4F-5E67-4978-B68F-16B7A4D41EB8}"/>
                    </c:ext>
                  </c:extLst>
                </c:dPt>
                <c:dPt>
                  <c:idx val="4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7D-71B5-45C2-93C5-38A82E2287F0}"/>
                    </c:ext>
                  </c:extLst>
                </c:dPt>
                <c:dPt>
                  <c:idx val="4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51-5E67-4978-B68F-16B7A4D41EB8}"/>
                    </c:ext>
                  </c:extLst>
                </c:dPt>
                <c:dPt>
                  <c:idx val="4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81-71B5-45C2-93C5-38A82E2287F0}"/>
                    </c:ext>
                  </c:extLst>
                </c:dPt>
                <c:dPt>
                  <c:idx val="4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B-B230-4B26-846E-D56405EFE187}"/>
                    </c:ext>
                  </c:extLst>
                </c:dPt>
                <c:dPt>
                  <c:idx val="4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F-A7A9-4C9D-B771-16E74E8E82FB}"/>
                    </c:ext>
                  </c:extLst>
                </c:dPt>
                <c:dPt>
                  <c:idx val="4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B-D92A-42DD-8311-EEA00F60D44D}"/>
                    </c:ext>
                  </c:extLst>
                </c:dPt>
                <c:dPt>
                  <c:idx val="4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F-B230-4B26-846E-D56405EFE187}"/>
                    </c:ext>
                  </c:extLst>
                </c:dPt>
                <c:dPt>
                  <c:idx val="4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7-9824-4A9C-B43B-F4AB0317ECFF}"/>
                    </c:ext>
                  </c:extLst>
                </c:dPt>
                <c:dPt>
                  <c:idx val="4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F-D92A-42DD-8311-EEA00F60D44D}"/>
                    </c:ext>
                  </c:extLst>
                </c:dPt>
                <c:dPt>
                  <c:idx val="5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B-92C0-48E2-B0DC-EF08AB5D95FA}"/>
                    </c:ext>
                  </c:extLst>
                </c:dPt>
                <c:dPt>
                  <c:idx val="5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3-D92A-42DD-8311-EEA00F60D44D}"/>
                    </c:ext>
                  </c:extLst>
                </c:dPt>
                <c:dPt>
                  <c:idx val="5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7-39F0-4DCC-9F9F-8121D53561F9}"/>
                    </c:ext>
                  </c:extLst>
                </c:dPt>
                <c:dPt>
                  <c:idx val="5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F-92C0-48E2-B0DC-EF08AB5D95FA}"/>
                    </c:ext>
                  </c:extLst>
                </c:dPt>
                <c:dPt>
                  <c:idx val="5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B-9824-4A9C-B43B-F4AB0317ECFF}"/>
                    </c:ext>
                  </c:extLst>
                </c:dPt>
                <c:dPt>
                  <c:idx val="5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3-92C0-48E2-B0DC-EF08AB5D95FA}"/>
                    </c:ext>
                  </c:extLst>
                </c:dPt>
                <c:dPt>
                  <c:idx val="5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7-962E-4D9C-B99B-812FB2AC153D}"/>
                    </c:ext>
                  </c:extLst>
                </c:dPt>
                <c:dPt>
                  <c:idx val="5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F-9824-4A9C-B43B-F4AB0317ECFF}"/>
                    </c:ext>
                  </c:extLst>
                </c:dPt>
                <c:dPt>
                  <c:idx val="5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B-39F0-4DCC-9F9F-8121D53561F9}"/>
                    </c:ext>
                  </c:extLst>
                </c:dPt>
                <c:dPt>
                  <c:idx val="5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3-9824-4A9C-B43B-F4AB0317ECFF}"/>
                    </c:ext>
                  </c:extLst>
                </c:dPt>
                <c:dPt>
                  <c:idx val="6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7-A4B5-422E-8042-377C30AD8ADC}"/>
                    </c:ext>
                  </c:extLst>
                </c:dPt>
                <c:dPt>
                  <c:idx val="6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F-39F0-4DCC-9F9F-8121D53561F9}"/>
                    </c:ext>
                  </c:extLst>
                </c:dPt>
                <c:dPt>
                  <c:idx val="6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B-962E-4D9C-B99B-812FB2AC153D}"/>
                    </c:ext>
                  </c:extLst>
                </c:dPt>
                <c:dPt>
                  <c:idx val="6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3-39F0-4DCC-9F9F-8121D53561F9}"/>
                    </c:ext>
                  </c:extLst>
                </c:dPt>
                <c:dPt>
                  <c:idx val="6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5-CCE6-4BC6-948D-BF6183A19448}"/>
                    </c:ext>
                  </c:extLst>
                </c:dPt>
                <c:dPt>
                  <c:idx val="6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F-962E-4D9C-B99B-812FB2AC153D}"/>
                    </c:ext>
                  </c:extLst>
                </c:dPt>
                <c:dPt>
                  <c:idx val="6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B-A4B5-422E-8042-377C30AD8ADC}"/>
                    </c:ext>
                  </c:extLst>
                </c:dPt>
                <c:dPt>
                  <c:idx val="6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3-962E-4D9C-B99B-812FB2AC153D}"/>
                    </c:ext>
                  </c:extLst>
                </c:dPt>
                <c:dPt>
                  <c:idx val="6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9-A97A-43B6-BDDC-5E52DE8BCB5A}"/>
                    </c:ext>
                  </c:extLst>
                </c:dPt>
                <c:dPt>
                  <c:idx val="6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F-A4B5-422E-8042-377C30AD8ADC}"/>
                    </c:ext>
                  </c:extLst>
                </c:dPt>
                <c:dPt>
                  <c:idx val="7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5-DA6A-4B96-A17C-1FF08617E929}"/>
                    </c:ext>
                  </c:extLst>
                </c:dPt>
                <c:dPt>
                  <c:idx val="7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3-A4B5-422E-8042-377C30AD8ADC}"/>
                    </c:ext>
                  </c:extLst>
                </c:dPt>
                <c:dPt>
                  <c:idx val="7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D-A97A-43B6-BDDC-5E52DE8BCB5A}"/>
                    </c:ext>
                  </c:extLst>
                </c:dPt>
                <c:dPt>
                  <c:idx val="7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9-CCE6-4BC6-948D-BF6183A19448}"/>
                    </c:ext>
                  </c:extLst>
                </c:dPt>
                <c:dPt>
                  <c:idx val="7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1-A97A-43B6-BDDC-5E52DE8BCB5A}"/>
                    </c:ext>
                  </c:extLst>
                </c:dPt>
                <c:dPt>
                  <c:idx val="7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5-05B4-4259-B2A3-54F33A80A2AA}"/>
                    </c:ext>
                  </c:extLst>
                </c:dPt>
                <c:dPt>
                  <c:idx val="7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5-A97A-43B6-BDDC-5E52DE8BCB5A}"/>
                    </c:ext>
                  </c:extLst>
                </c:dPt>
                <c:dPt>
                  <c:idx val="7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D-CCE6-4BC6-948D-BF6183A19448}"/>
                    </c:ext>
                  </c:extLst>
                </c:dPt>
                <c:dPt>
                  <c:idx val="7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9-DA6A-4B96-A17C-1FF08617E929}"/>
                    </c:ext>
                  </c:extLst>
                </c:dPt>
                <c:dPt>
                  <c:idx val="7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1-CCE6-4BC6-948D-BF6183A19448}"/>
                    </c:ext>
                  </c:extLst>
                </c:dPt>
                <c:dPt>
                  <c:idx val="8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B-037B-4137-BE44-39F9C12750E5}"/>
                    </c:ext>
                  </c:extLst>
                </c:dPt>
                <c:dPt>
                  <c:idx val="8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5-CCE6-4BC6-948D-BF6183A19448}"/>
                    </c:ext>
                  </c:extLst>
                </c:dPt>
                <c:dPt>
                  <c:idx val="8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B-E1F2-49E8-90BB-6A5D944FFBCA}"/>
                    </c:ext>
                  </c:extLst>
                </c:dPt>
                <c:dPt>
                  <c:idx val="8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F-037B-4137-BE44-39F9C12750E5}"/>
                    </c:ext>
                  </c:extLst>
                </c:dPt>
                <c:dPt>
                  <c:idx val="8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B-C22A-4E35-A906-67737FBCF186}"/>
                    </c:ext>
                  </c:extLst>
                </c:dPt>
                <c:dPt>
                  <c:idx val="8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F-E1F2-49E8-90BB-6A5D944FFBCA}"/>
                    </c:ext>
                  </c:extLst>
                </c:dPt>
                <c:dPt>
                  <c:idx val="8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5-873A-48A4-9C4D-8AB260CAD881}"/>
                    </c:ext>
                  </c:extLst>
                </c:dPt>
                <c:dPt>
                  <c:idx val="8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F-C22A-4E35-A906-67737FBCF186}"/>
                    </c:ext>
                  </c:extLst>
                </c:dPt>
                <c:dPt>
                  <c:idx val="8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D-DA6A-4B96-A17C-1FF08617E929}"/>
                    </c:ext>
                  </c:extLst>
                </c:dPt>
                <c:dPt>
                  <c:idx val="8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9-05B4-4259-B2A3-54F33A80A2AA}"/>
                    </c:ext>
                  </c:extLst>
                </c:dPt>
                <c:dPt>
                  <c:idx val="9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1-DA6A-4B96-A17C-1FF08617E929}"/>
                    </c:ext>
                  </c:extLst>
                </c:dPt>
                <c:dPt>
                  <c:idx val="9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B-B825-430F-8F11-7910E512DB4D}"/>
                    </c:ext>
                  </c:extLst>
                </c:dPt>
                <c:dPt>
                  <c:idx val="9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5-DA6A-4B96-A17C-1FF08617E929}"/>
                    </c:ext>
                  </c:extLst>
                </c:dPt>
                <c:dPt>
                  <c:idx val="9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7-9EBB-4498-AF73-DE10F8F08514}"/>
                    </c:ext>
                  </c:extLst>
                </c:dPt>
                <c:dPt>
                  <c:idx val="9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F-B825-430F-8F11-7910E512DB4D}"/>
                    </c:ext>
                  </c:extLst>
                </c:dPt>
                <c:dPt>
                  <c:idx val="9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D-05B4-4259-B2A3-54F33A80A2AA}"/>
                    </c:ext>
                  </c:extLst>
                </c:dPt>
                <c:dPt>
                  <c:idx val="9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9-9EBB-4498-AF73-DE10F8F08514}"/>
                    </c:ext>
                  </c:extLst>
                </c:dPt>
                <c:dPt>
                  <c:idx val="9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1-05B4-4259-B2A3-54F33A80A2AA}"/>
                    </c:ext>
                  </c:extLst>
                </c:dPt>
                <c:dPt>
                  <c:idx val="9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B-9EBB-4498-AF73-DE10F8F08514}"/>
                    </c:ext>
                  </c:extLst>
                </c:dPt>
                <c:dPt>
                  <c:idx val="9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5-05B4-4259-B2A3-54F33A80A2AA}"/>
                    </c:ext>
                  </c:extLst>
                </c:dPt>
                <c:dPt>
                  <c:idx val="10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B-D68D-470C-AA9D-3BBE0CCF22EC}"/>
                    </c:ext>
                  </c:extLst>
                </c:dPt>
                <c:dPt>
                  <c:idx val="10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F-9EBB-4498-AF73-DE10F8F08514}"/>
                    </c:ext>
                  </c:extLst>
                </c:dPt>
                <c:dPt>
                  <c:idx val="10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B-2D24-4F43-84DD-2AED8807F518}"/>
                    </c:ext>
                  </c:extLst>
                </c:dPt>
                <c:dPt>
                  <c:idx val="10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F-D68D-470C-AA9D-3BBE0CCF22EC}"/>
                    </c:ext>
                  </c:extLst>
                </c:dPt>
                <c:dPt>
                  <c:idx val="10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B-107D-4B73-87D1-0C7C262617E7}"/>
                    </c:ext>
                  </c:extLst>
                </c:dPt>
                <c:dPt>
                  <c:idx val="10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F-2D24-4F43-84DD-2AED8807F518}"/>
                    </c:ext>
                  </c:extLst>
                </c:dPt>
                <c:dPt>
                  <c:idx val="10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B-9AC6-4259-A165-1E9FF4D14917}"/>
                    </c:ext>
                  </c:extLst>
                </c:dPt>
                <c:dPt>
                  <c:idx val="10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F-107D-4B73-87D1-0C7C262617E7}"/>
                    </c:ext>
                  </c:extLst>
                </c:dPt>
                <c:dPt>
                  <c:idx val="10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B-377D-4BA3-8FD6-622858C4C058}"/>
                    </c:ext>
                  </c:extLst>
                </c:dPt>
                <c:dPt>
                  <c:idx val="10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F-9AC6-4259-A165-1E9FF4D14917}"/>
                    </c:ext>
                  </c:extLst>
                </c:dPt>
                <c:dPt>
                  <c:idx val="11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B-2B10-4BDB-B733-44BCEC169F5F}"/>
                    </c:ext>
                  </c:extLst>
                </c:dPt>
                <c:dPt>
                  <c:idx val="11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F-377D-4BA3-8FD6-622858C4C058}"/>
                    </c:ext>
                  </c:extLst>
                </c:dPt>
                <c:dPt>
                  <c:idx val="11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B-9AE5-4676-995C-2F720115BB62}"/>
                    </c:ext>
                  </c:extLst>
                </c:dPt>
                <c:dPt>
                  <c:idx val="11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F-2B10-4BDB-B733-44BCEC169F5F}"/>
                    </c:ext>
                  </c:extLst>
                </c:dPt>
                <c:dPt>
                  <c:idx val="11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B-7CC8-4595-B3A7-83DFCA8F1B4D}"/>
                    </c:ext>
                  </c:extLst>
                </c:dPt>
                <c:dPt>
                  <c:idx val="11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F-9AE5-4676-995C-2F720115BB62}"/>
                    </c:ext>
                  </c:extLst>
                </c:dPt>
                <c:dPt>
                  <c:idx val="11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7-873A-48A4-9C4D-8AB260CAD881}"/>
                    </c:ext>
                  </c:extLst>
                </c:dPt>
                <c:dPt>
                  <c:idx val="11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F-7CC8-4595-B3A7-83DFCA8F1B4D}"/>
                    </c:ext>
                  </c:extLst>
                </c:dPt>
                <c:dPt>
                  <c:idx val="11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B-CDEC-4490-9859-88D72888B46F}"/>
                    </c:ext>
                  </c:extLst>
                </c:dPt>
                <c:dPt>
                  <c:idx val="11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3-7CC8-4595-B3A7-83DFCA8F1B4D}"/>
                    </c:ext>
                  </c:extLst>
                </c:dPt>
                <c:dPt>
                  <c:idx val="12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9-C015-4A9A-ACD6-7A8EC340CC3E}"/>
                    </c:ext>
                  </c:extLst>
                </c:dPt>
                <c:dPt>
                  <c:idx val="12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F-CDEC-4490-9859-88D72888B46F}"/>
                    </c:ext>
                  </c:extLst>
                </c:dPt>
                <c:dPt>
                  <c:idx val="12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9-873A-48A4-9C4D-8AB260CAD881}"/>
                    </c:ext>
                  </c:extLst>
                </c:dPt>
                <c:dPt>
                  <c:idx val="12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3-CDEC-4490-9859-88D72888B46F}"/>
                    </c:ext>
                  </c:extLst>
                </c:dPt>
                <c:dPt>
                  <c:idx val="12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D-C015-4A9A-ACD6-7A8EC340CC3E}"/>
                    </c:ext>
                  </c:extLst>
                </c:dPt>
                <c:dPt>
                  <c:idx val="12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B-4E23-4D2F-9483-98B7DA2B7B1A}"/>
                    </c:ext>
                  </c:extLst>
                </c:dPt>
                <c:dPt>
                  <c:idx val="12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1-C015-4A9A-ACD6-7A8EC340CC3E}"/>
                    </c:ext>
                  </c:extLst>
                </c:dPt>
                <c:dPt>
                  <c:idx val="12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B-9294-4F09-9B9E-A7CDA70CAE52}"/>
                    </c:ext>
                  </c:extLst>
                </c:dPt>
                <c:dPt>
                  <c:idx val="12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F-4E23-4D2F-9483-98B7DA2B7B1A}"/>
                    </c:ext>
                  </c:extLst>
                </c:dPt>
                <c:dPt>
                  <c:idx val="12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B-0EB4-47A4-B114-49EDB5797B49}"/>
                    </c:ext>
                  </c:extLst>
                </c:dPt>
                <c:dPt>
                  <c:idx val="13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F-9294-4F09-9B9E-A7CDA70CAE52}"/>
                    </c:ext>
                  </c:extLst>
                </c:dPt>
                <c:dPt>
                  <c:idx val="13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B-873A-48A4-9C4D-8AB260CAD881}"/>
                    </c:ext>
                  </c:extLst>
                </c:dPt>
                <c:dPt>
                  <c:idx val="13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F-0EB4-47A4-B114-49EDB5797B49}"/>
                    </c:ext>
                  </c:extLst>
                </c:dPt>
                <c:dPt>
                  <c:idx val="13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D-873A-48A4-9C4D-8AB260CAD881}"/>
                    </c:ext>
                  </c:extLst>
                </c:dPt>
                <c:dPt>
                  <c:idx val="13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F-873A-48A4-9C4D-8AB260CAD881}"/>
                    </c:ext>
                  </c:extLst>
                </c:dPt>
                <c:dPt>
                  <c:idx val="13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1-873A-48A4-9C4D-8AB260CAD881}"/>
                    </c:ext>
                  </c:extLst>
                </c:dPt>
                <c:dPt>
                  <c:idx val="13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3-873A-48A4-9C4D-8AB260CAD881}"/>
                    </c:ext>
                  </c:extLst>
                </c:dPt>
                <c:dPt>
                  <c:idx val="13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5-873A-48A4-9C4D-8AB260CAD881}"/>
                    </c:ext>
                  </c:extLst>
                </c:dPt>
                <c:dPt>
                  <c:idx val="13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7-873A-48A4-9C4D-8AB260CAD881}"/>
                    </c:ext>
                  </c:extLst>
                </c:dPt>
                <c:dPt>
                  <c:idx val="13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9-873A-48A4-9C4D-8AB260CAD881}"/>
                    </c:ext>
                  </c:extLst>
                </c:dPt>
                <c:dPt>
                  <c:idx val="14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B-873A-48A4-9C4D-8AB260CAD881}"/>
                    </c:ext>
                  </c:extLst>
                </c:dPt>
                <c:dPt>
                  <c:idx val="14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D-873A-48A4-9C4D-8AB260CAD881}"/>
                    </c:ext>
                  </c:extLst>
                </c:dPt>
                <c:dPt>
                  <c:idx val="14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F-873A-48A4-9C4D-8AB260CAD881}"/>
                    </c:ext>
                  </c:extLst>
                </c:dPt>
                <c:dPt>
                  <c:idx val="14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21-873A-48A4-9C4D-8AB260CAD881}"/>
                    </c:ext>
                  </c:extLst>
                </c:dPt>
                <c:dPt>
                  <c:idx val="14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23-873A-48A4-9C4D-8AB260CAD881}"/>
                    </c:ext>
                  </c:extLst>
                </c:dPt>
                <c:dPt>
                  <c:idx val="14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25-873A-48A4-9C4D-8AB260CAD881}"/>
                    </c:ext>
                  </c:extLst>
                </c:dPt>
                <c:dPt>
                  <c:idx val="14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27-873A-48A4-9C4D-8AB260CAD881}"/>
                    </c:ext>
                  </c:extLst>
                </c:dPt>
                <c:dPt>
                  <c:idx val="14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29-873A-48A4-9C4D-8AB260CAD881}"/>
                    </c:ext>
                  </c:extLst>
                </c:dPt>
                <c:dPt>
                  <c:idx val="14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2B-873A-48A4-9C4D-8AB260CAD881}"/>
                    </c:ext>
                  </c:extLst>
                </c:dPt>
                <c:dPt>
                  <c:idx val="14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2D-873A-48A4-9C4D-8AB260CAD881}"/>
                    </c:ext>
                  </c:extLst>
                </c:dPt>
                <c:dPt>
                  <c:idx val="15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2F-873A-48A4-9C4D-8AB260CAD881}"/>
                    </c:ext>
                  </c:extLst>
                </c:dPt>
                <c:dPt>
                  <c:idx val="15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31-873A-48A4-9C4D-8AB260CAD881}"/>
                    </c:ext>
                  </c:extLst>
                </c:dPt>
                <c:dPt>
                  <c:idx val="15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33-873A-48A4-9C4D-8AB260CAD881}"/>
                    </c:ext>
                  </c:extLst>
                </c:dPt>
                <c:dPt>
                  <c:idx val="15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35-873A-48A4-9C4D-8AB260CAD881}"/>
                    </c:ext>
                  </c:extLst>
                </c:dPt>
                <c:dPt>
                  <c:idx val="15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37-873A-48A4-9C4D-8AB260CAD881}"/>
                    </c:ext>
                  </c:extLst>
                </c:dPt>
                <c:dPt>
                  <c:idx val="15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39-873A-48A4-9C4D-8AB260CAD881}"/>
                    </c:ext>
                  </c:extLst>
                </c:dPt>
                <c:dPt>
                  <c:idx val="15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3B-873A-48A4-9C4D-8AB260CAD881}"/>
                    </c:ext>
                  </c:extLst>
                </c:dPt>
                <c:dPt>
                  <c:idx val="15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3D-873A-48A4-9C4D-8AB260CAD881}"/>
                    </c:ext>
                  </c:extLst>
                </c:dPt>
                <c:dPt>
                  <c:idx val="15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3F-873A-48A4-9C4D-8AB260CAD881}"/>
                    </c:ext>
                  </c:extLst>
                </c:dPt>
                <c:dPt>
                  <c:idx val="15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41-873A-48A4-9C4D-8AB260CAD881}"/>
                    </c:ext>
                  </c:extLst>
                </c:dPt>
                <c:dPt>
                  <c:idx val="16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43-873A-48A4-9C4D-8AB260CAD881}"/>
                    </c:ext>
                  </c:extLst>
                </c:dPt>
                <c:dPt>
                  <c:idx val="16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45-873A-48A4-9C4D-8AB260CAD881}"/>
                    </c:ext>
                  </c:extLst>
                </c:dPt>
                <c:dPt>
                  <c:idx val="16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47-873A-48A4-9C4D-8AB260CAD881}"/>
                    </c:ext>
                  </c:extLst>
                </c:dPt>
                <c:dPt>
                  <c:idx val="16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49-873A-48A4-9C4D-8AB260CAD881}"/>
                    </c:ext>
                  </c:extLst>
                </c:dPt>
                <c:dPt>
                  <c:idx val="16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4B-873A-48A4-9C4D-8AB260CAD881}"/>
                    </c:ext>
                  </c:extLst>
                </c:dPt>
                <c:dPt>
                  <c:idx val="16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4D-873A-48A4-9C4D-8AB260CAD881}"/>
                    </c:ext>
                  </c:extLst>
                </c:dPt>
                <c:dPt>
                  <c:idx val="16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4F-873A-48A4-9C4D-8AB260CAD881}"/>
                    </c:ext>
                  </c:extLst>
                </c:dPt>
                <c:dPt>
                  <c:idx val="16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51-873A-48A4-9C4D-8AB260CAD881}"/>
                    </c:ext>
                  </c:extLst>
                </c:dPt>
                <c:dPt>
                  <c:idx val="16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53-873A-48A4-9C4D-8AB260CAD881}"/>
                    </c:ext>
                  </c:extLst>
                </c:dPt>
                <c:dPt>
                  <c:idx val="16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55-873A-48A4-9C4D-8AB260CAD881}"/>
                    </c:ext>
                  </c:extLst>
                </c:dPt>
                <c:dPt>
                  <c:idx val="17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57-873A-48A4-9C4D-8AB260CAD881}"/>
                    </c:ext>
                  </c:extLst>
                </c:dPt>
                <c:dPt>
                  <c:idx val="17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59-873A-48A4-9C4D-8AB260CAD881}"/>
                    </c:ext>
                  </c:extLst>
                </c:dPt>
                <c:dPt>
                  <c:idx val="17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5B-873A-48A4-9C4D-8AB260CAD881}"/>
                    </c:ext>
                  </c:extLst>
                </c:dPt>
                <c:dPt>
                  <c:idx val="17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5D-873A-48A4-9C4D-8AB260CAD881}"/>
                    </c:ext>
                  </c:extLst>
                </c:dPt>
                <c:dPt>
                  <c:idx val="17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5F-873A-48A4-9C4D-8AB260CAD881}"/>
                    </c:ext>
                  </c:extLst>
                </c:dPt>
                <c:dPt>
                  <c:idx val="17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61-873A-48A4-9C4D-8AB260CAD881}"/>
                    </c:ext>
                  </c:extLst>
                </c:dPt>
                <c:dPt>
                  <c:idx val="17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63-873A-48A4-9C4D-8AB260CAD881}"/>
                    </c:ext>
                  </c:extLst>
                </c:dPt>
                <c:dPt>
                  <c:idx val="17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65-873A-48A4-9C4D-8AB260CAD881}"/>
                    </c:ext>
                  </c:extLst>
                </c:dPt>
                <c:dPt>
                  <c:idx val="17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67-873A-48A4-9C4D-8AB260CAD881}"/>
                    </c:ext>
                  </c:extLst>
                </c:dPt>
                <c:dPt>
                  <c:idx val="17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69-873A-48A4-9C4D-8AB260CAD881}"/>
                    </c:ext>
                  </c:extLst>
                </c:dPt>
                <c:dPt>
                  <c:idx val="18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6B-873A-48A4-9C4D-8AB260CAD881}"/>
                    </c:ext>
                  </c:extLst>
                </c:dPt>
                <c:dPt>
                  <c:idx val="18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6D-873A-48A4-9C4D-8AB260CAD881}"/>
                    </c:ext>
                  </c:extLst>
                </c:dPt>
                <c:dPt>
                  <c:idx val="18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6F-873A-48A4-9C4D-8AB260CAD881}"/>
                    </c:ext>
                  </c:extLst>
                </c:dPt>
                <c:dPt>
                  <c:idx val="18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71-873A-48A4-9C4D-8AB260CAD881}"/>
                    </c:ext>
                  </c:extLst>
                </c:dPt>
                <c:dPt>
                  <c:idx val="18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73-873A-48A4-9C4D-8AB260CAD881}"/>
                    </c:ext>
                  </c:extLst>
                </c:dPt>
                <c:dPt>
                  <c:idx val="18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75-873A-48A4-9C4D-8AB260CAD881}"/>
                    </c:ext>
                  </c:extLst>
                </c:dPt>
                <c:dPt>
                  <c:idx val="18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77-873A-48A4-9C4D-8AB260CAD881}"/>
                    </c:ext>
                  </c:extLst>
                </c:dPt>
                <c:dPt>
                  <c:idx val="18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79-873A-48A4-9C4D-8AB260CAD881}"/>
                    </c:ext>
                  </c:extLst>
                </c:dPt>
                <c:dPt>
                  <c:idx val="18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7B-873A-48A4-9C4D-8AB260CAD881}"/>
                    </c:ext>
                  </c:extLst>
                </c:dPt>
                <c:dPt>
                  <c:idx val="18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7D-873A-48A4-9C4D-8AB260CAD881}"/>
                    </c:ext>
                  </c:extLst>
                </c:dPt>
                <c:dPt>
                  <c:idx val="19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7F-873A-48A4-9C4D-8AB260CAD881}"/>
                    </c:ext>
                  </c:extLst>
                </c:dPt>
                <c:dPt>
                  <c:idx val="19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81-873A-48A4-9C4D-8AB260CAD881}"/>
                    </c:ext>
                  </c:extLst>
                </c:dPt>
                <c:dPt>
                  <c:idx val="19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83-873A-48A4-9C4D-8AB260CAD881}"/>
                    </c:ext>
                  </c:extLst>
                </c:dPt>
                <c:dPt>
                  <c:idx val="19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85-873A-48A4-9C4D-8AB260CAD881}"/>
                    </c:ext>
                  </c:extLst>
                </c:dPt>
                <c:dPt>
                  <c:idx val="19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87-873A-48A4-9C4D-8AB260CAD881}"/>
                    </c:ext>
                  </c:extLst>
                </c:dPt>
                <c:dPt>
                  <c:idx val="19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89-873A-48A4-9C4D-8AB260CAD881}"/>
                    </c:ext>
                  </c:extLst>
                </c:dPt>
                <c:dPt>
                  <c:idx val="19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8B-873A-48A4-9C4D-8AB260CAD881}"/>
                    </c:ext>
                  </c:extLst>
                </c:dPt>
                <c:dPt>
                  <c:idx val="19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8D-873A-48A4-9C4D-8AB260CAD881}"/>
                    </c:ext>
                  </c:extLst>
                </c:dPt>
                <c:dPt>
                  <c:idx val="19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8F-873A-48A4-9C4D-8AB260CAD881}"/>
                    </c:ext>
                  </c:extLst>
                </c:dPt>
                <c:dPt>
                  <c:idx val="19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91-873A-48A4-9C4D-8AB260CAD881}"/>
                    </c:ext>
                  </c:extLst>
                </c:dPt>
                <c:dPt>
                  <c:idx val="20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93-873A-48A4-9C4D-8AB260CAD881}"/>
                    </c:ext>
                  </c:extLst>
                </c:dPt>
                <c:dPt>
                  <c:idx val="20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95-873A-48A4-9C4D-8AB260CAD881}"/>
                    </c:ext>
                  </c:extLst>
                </c:dPt>
                <c:dPt>
                  <c:idx val="20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97-873A-48A4-9C4D-8AB260CAD881}"/>
                    </c:ext>
                  </c:extLst>
                </c:dPt>
                <c:dPt>
                  <c:idx val="20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99-873A-48A4-9C4D-8AB260CAD881}"/>
                    </c:ext>
                  </c:extLst>
                </c:dPt>
                <c:dPt>
                  <c:idx val="20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9B-873A-48A4-9C4D-8AB260CAD881}"/>
                    </c:ext>
                  </c:extLst>
                </c:dPt>
                <c:dPt>
                  <c:idx val="20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9D-873A-48A4-9C4D-8AB260CAD881}"/>
                    </c:ext>
                  </c:extLst>
                </c:dPt>
                <c:dPt>
                  <c:idx val="20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9F-873A-48A4-9C4D-8AB260CAD881}"/>
                    </c:ext>
                  </c:extLst>
                </c:dPt>
                <c:dPt>
                  <c:idx val="20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A1-873A-48A4-9C4D-8AB260CAD881}"/>
                    </c:ext>
                  </c:extLst>
                </c:dPt>
                <c:dPt>
                  <c:idx val="20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A3-873A-48A4-9C4D-8AB260CAD881}"/>
                    </c:ext>
                  </c:extLst>
                </c:dPt>
                <c:dPt>
                  <c:idx val="20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A5-873A-48A4-9C4D-8AB260CAD881}"/>
                    </c:ext>
                  </c:extLst>
                </c:dPt>
                <c:dPt>
                  <c:idx val="21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A7-873A-48A4-9C4D-8AB260CAD881}"/>
                    </c:ext>
                  </c:extLst>
                </c:dPt>
                <c:dPt>
                  <c:idx val="21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A9-873A-48A4-9C4D-8AB260CAD881}"/>
                    </c:ext>
                  </c:extLst>
                </c:dPt>
                <c:dPt>
                  <c:idx val="21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AB-873A-48A4-9C4D-8AB260CAD881}"/>
                    </c:ext>
                  </c:extLst>
                </c:dPt>
                <c:dPt>
                  <c:idx val="21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AD-873A-48A4-9C4D-8AB260CAD881}"/>
                    </c:ext>
                  </c:extLst>
                </c:dPt>
                <c:dPt>
                  <c:idx val="21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AF-873A-48A4-9C4D-8AB260CAD881}"/>
                    </c:ext>
                  </c:extLst>
                </c:dPt>
                <c:dPt>
                  <c:idx val="21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B1-873A-48A4-9C4D-8AB260CAD881}"/>
                    </c:ext>
                  </c:extLst>
                </c:dPt>
                <c:dPt>
                  <c:idx val="21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B3-873A-48A4-9C4D-8AB260CAD881}"/>
                    </c:ext>
                  </c:extLst>
                </c:dPt>
                <c:dPt>
                  <c:idx val="21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B5-873A-48A4-9C4D-8AB260CAD881}"/>
                    </c:ext>
                  </c:extLst>
                </c:dPt>
                <c:dPt>
                  <c:idx val="21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B7-873A-48A4-9C4D-8AB260CAD881}"/>
                    </c:ext>
                  </c:extLst>
                </c:dPt>
                <c:dPt>
                  <c:idx val="21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B9-873A-48A4-9C4D-8AB260CAD881}"/>
                    </c:ext>
                  </c:extLst>
                </c:dPt>
                <c:dPt>
                  <c:idx val="22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BB-873A-48A4-9C4D-8AB260CAD881}"/>
                    </c:ext>
                  </c:extLst>
                </c:dPt>
                <c:dPt>
                  <c:idx val="22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BD-873A-48A4-9C4D-8AB260CAD881}"/>
                    </c:ext>
                  </c:extLst>
                </c:dPt>
                <c:dPt>
                  <c:idx val="22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BF-873A-48A4-9C4D-8AB260CAD881}"/>
                    </c:ext>
                  </c:extLst>
                </c:dPt>
                <c:dPt>
                  <c:idx val="22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C1-873A-48A4-9C4D-8AB260CAD881}"/>
                    </c:ext>
                  </c:extLst>
                </c:dPt>
                <c:dPt>
                  <c:idx val="22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C3-873A-48A4-9C4D-8AB260CAD881}"/>
                    </c:ext>
                  </c:extLst>
                </c:dPt>
                <c:dPt>
                  <c:idx val="22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C5-873A-48A4-9C4D-8AB260CAD881}"/>
                    </c:ext>
                  </c:extLst>
                </c:dPt>
                <c:dPt>
                  <c:idx val="22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C7-873A-48A4-9C4D-8AB260CAD881}"/>
                    </c:ext>
                  </c:extLst>
                </c:dPt>
                <c:dPt>
                  <c:idx val="22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C9-873A-48A4-9C4D-8AB260CAD881}"/>
                    </c:ext>
                  </c:extLst>
                </c:dPt>
                <c:dPt>
                  <c:idx val="22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CB-873A-48A4-9C4D-8AB260CAD881}"/>
                    </c:ext>
                  </c:extLst>
                </c:dPt>
                <c:dPt>
                  <c:idx val="22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CD-873A-48A4-9C4D-8AB260CAD881}"/>
                    </c:ext>
                  </c:extLst>
                </c:dPt>
                <c:dPt>
                  <c:idx val="23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CF-873A-48A4-9C4D-8AB260CAD881}"/>
                    </c:ext>
                  </c:extLst>
                </c:dPt>
                <c:dPt>
                  <c:idx val="23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D1-873A-48A4-9C4D-8AB260CAD881}"/>
                    </c:ext>
                  </c:extLst>
                </c:dPt>
                <c:dPt>
                  <c:idx val="23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D3-873A-48A4-9C4D-8AB260CAD881}"/>
                    </c:ext>
                  </c:extLst>
                </c:dPt>
                <c:dPt>
                  <c:idx val="23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D5-873A-48A4-9C4D-8AB260CAD881}"/>
                    </c:ext>
                  </c:extLst>
                </c:dPt>
                <c:dPt>
                  <c:idx val="23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D7-873A-48A4-9C4D-8AB260CAD881}"/>
                    </c:ext>
                  </c:extLst>
                </c:dPt>
                <c:dPt>
                  <c:idx val="23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D9-873A-48A4-9C4D-8AB260CAD881}"/>
                    </c:ext>
                  </c:extLst>
                </c:dPt>
                <c:dPt>
                  <c:idx val="23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DB-873A-48A4-9C4D-8AB260CAD881}"/>
                    </c:ext>
                  </c:extLst>
                </c:dPt>
                <c:dPt>
                  <c:idx val="23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DD-873A-48A4-9C4D-8AB260CAD881}"/>
                    </c:ext>
                  </c:extLst>
                </c:dPt>
                <c:dPt>
                  <c:idx val="23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DF-873A-48A4-9C4D-8AB260CAD881}"/>
                    </c:ext>
                  </c:extLst>
                </c:dPt>
                <c:dPt>
                  <c:idx val="23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E1-873A-48A4-9C4D-8AB260CAD881}"/>
                    </c:ext>
                  </c:extLst>
                </c:dPt>
                <c:dPt>
                  <c:idx val="24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E3-873A-48A4-9C4D-8AB260CAD881}"/>
                    </c:ext>
                  </c:extLst>
                </c:dPt>
                <c:dPt>
                  <c:idx val="24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E5-873A-48A4-9C4D-8AB260CAD881}"/>
                    </c:ext>
                  </c:extLst>
                </c:dPt>
                <c:dPt>
                  <c:idx val="24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E7-873A-48A4-9C4D-8AB260CAD881}"/>
                    </c:ext>
                  </c:extLst>
                </c:dPt>
                <c:dPt>
                  <c:idx val="24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E9-873A-48A4-9C4D-8AB260CAD881}"/>
                    </c:ext>
                  </c:extLst>
                </c:dPt>
                <c:dPt>
                  <c:idx val="24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EB-873A-48A4-9C4D-8AB260CAD881}"/>
                    </c:ext>
                  </c:extLst>
                </c:dPt>
                <c:dPt>
                  <c:idx val="24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ED-873A-48A4-9C4D-8AB260CAD881}"/>
                    </c:ext>
                  </c:extLst>
                </c:dPt>
                <c:dPt>
                  <c:idx val="24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EF-873A-48A4-9C4D-8AB260CAD881}"/>
                    </c:ext>
                  </c:extLst>
                </c:dPt>
                <c:dPt>
                  <c:idx val="24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F1-873A-48A4-9C4D-8AB260CAD881}"/>
                    </c:ext>
                  </c:extLst>
                </c:dPt>
                <c:dPt>
                  <c:idx val="24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F3-873A-48A4-9C4D-8AB260CAD881}"/>
                    </c:ext>
                  </c:extLst>
                </c:dPt>
                <c:dPt>
                  <c:idx val="24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F5-873A-48A4-9C4D-8AB260CAD881}"/>
                    </c:ext>
                  </c:extLst>
                </c:dPt>
                <c:dPt>
                  <c:idx val="25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F7-873A-48A4-9C4D-8AB260CAD881}"/>
                    </c:ext>
                  </c:extLst>
                </c:dPt>
                <c:dPt>
                  <c:idx val="25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F9-873A-48A4-9C4D-8AB260CAD881}"/>
                    </c:ext>
                  </c:extLst>
                </c:dPt>
                <c:dPt>
                  <c:idx val="25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FB-873A-48A4-9C4D-8AB260CAD881}"/>
                    </c:ext>
                  </c:extLst>
                </c:dPt>
                <c:dPt>
                  <c:idx val="25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FD-873A-48A4-9C4D-8AB260CAD881}"/>
                    </c:ext>
                  </c:extLst>
                </c:dPt>
                <c:dPt>
                  <c:idx val="25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FF-873A-48A4-9C4D-8AB260CAD881}"/>
                    </c:ext>
                  </c:extLst>
                </c:dPt>
                <c:dPt>
                  <c:idx val="25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01-873A-48A4-9C4D-8AB260CAD881}"/>
                    </c:ext>
                  </c:extLst>
                </c:dPt>
                <c:dPt>
                  <c:idx val="25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03-873A-48A4-9C4D-8AB260CAD881}"/>
                    </c:ext>
                  </c:extLst>
                </c:dPt>
                <c:dPt>
                  <c:idx val="25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05-873A-48A4-9C4D-8AB260CAD881}"/>
                    </c:ext>
                  </c:extLst>
                </c:dPt>
                <c:dPt>
                  <c:idx val="25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07-873A-48A4-9C4D-8AB260CAD881}"/>
                    </c:ext>
                  </c:extLst>
                </c:dPt>
                <c:dPt>
                  <c:idx val="25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09-873A-48A4-9C4D-8AB260CAD881}"/>
                    </c:ext>
                  </c:extLst>
                </c:dPt>
                <c:dPt>
                  <c:idx val="26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0B-873A-48A4-9C4D-8AB260CAD881}"/>
                    </c:ext>
                  </c:extLst>
                </c:dPt>
                <c:dPt>
                  <c:idx val="26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0D-873A-48A4-9C4D-8AB260CAD881}"/>
                    </c:ext>
                  </c:extLst>
                </c:dPt>
                <c:dPt>
                  <c:idx val="26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0F-873A-48A4-9C4D-8AB260CAD881}"/>
                    </c:ext>
                  </c:extLst>
                </c:dPt>
                <c:dPt>
                  <c:idx val="26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11-873A-48A4-9C4D-8AB260CAD881}"/>
                    </c:ext>
                  </c:extLst>
                </c:dPt>
                <c:dPt>
                  <c:idx val="26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13-873A-48A4-9C4D-8AB260CAD881}"/>
                    </c:ext>
                  </c:extLst>
                </c:dPt>
                <c:dPt>
                  <c:idx val="26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15-873A-48A4-9C4D-8AB260CAD881}"/>
                    </c:ext>
                  </c:extLst>
                </c:dPt>
                <c:dPt>
                  <c:idx val="26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17-873A-48A4-9C4D-8AB260CAD881}"/>
                    </c:ext>
                  </c:extLst>
                </c:dPt>
                <c:dPt>
                  <c:idx val="26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19-873A-48A4-9C4D-8AB260CAD881}"/>
                    </c:ext>
                  </c:extLst>
                </c:dPt>
                <c:dPt>
                  <c:idx val="26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1B-873A-48A4-9C4D-8AB260CAD881}"/>
                    </c:ext>
                  </c:extLst>
                </c:dPt>
                <c:dPt>
                  <c:idx val="26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1D-873A-48A4-9C4D-8AB260CAD881}"/>
                    </c:ext>
                  </c:extLst>
                </c:dPt>
                <c:dPt>
                  <c:idx val="27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1F-873A-48A4-9C4D-8AB260CAD881}"/>
                    </c:ext>
                  </c:extLst>
                </c:dPt>
                <c:dPt>
                  <c:idx val="27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21-873A-48A4-9C4D-8AB260CAD881}"/>
                    </c:ext>
                  </c:extLst>
                </c:dPt>
                <c:dPt>
                  <c:idx val="27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23-873A-48A4-9C4D-8AB260CAD881}"/>
                    </c:ext>
                  </c:extLst>
                </c:dPt>
                <c:dPt>
                  <c:idx val="27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25-873A-48A4-9C4D-8AB260CAD881}"/>
                    </c:ext>
                  </c:extLst>
                </c:dPt>
                <c:dPt>
                  <c:idx val="27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27-873A-48A4-9C4D-8AB260CAD881}"/>
                    </c:ext>
                  </c:extLst>
                </c:dPt>
                <c:dPt>
                  <c:idx val="27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29-873A-48A4-9C4D-8AB260CAD881}"/>
                    </c:ext>
                  </c:extLst>
                </c:dPt>
                <c:dPt>
                  <c:idx val="27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2B-873A-48A4-9C4D-8AB260CAD881}"/>
                    </c:ext>
                  </c:extLst>
                </c:dPt>
                <c:dPt>
                  <c:idx val="27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2D-873A-48A4-9C4D-8AB260CAD881}"/>
                    </c:ext>
                  </c:extLst>
                </c:dPt>
                <c:dPt>
                  <c:idx val="27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2F-873A-48A4-9C4D-8AB260CAD881}"/>
                    </c:ext>
                  </c:extLst>
                </c:dPt>
                <c:dPt>
                  <c:idx val="27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31-873A-48A4-9C4D-8AB260CAD881}"/>
                    </c:ext>
                  </c:extLst>
                </c:dPt>
                <c:dPt>
                  <c:idx val="28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33-873A-48A4-9C4D-8AB260CAD881}"/>
                    </c:ext>
                  </c:extLst>
                </c:dPt>
                <c:dPt>
                  <c:idx val="28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35-873A-48A4-9C4D-8AB260CAD881}"/>
                    </c:ext>
                  </c:extLst>
                </c:dPt>
                <c:dPt>
                  <c:idx val="28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37-873A-48A4-9C4D-8AB260CAD881}"/>
                    </c:ext>
                  </c:extLst>
                </c:dPt>
                <c:dPt>
                  <c:idx val="28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39-873A-48A4-9C4D-8AB260CAD881}"/>
                    </c:ext>
                  </c:extLst>
                </c:dPt>
                <c:dPt>
                  <c:idx val="28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3B-873A-48A4-9C4D-8AB260CAD881}"/>
                    </c:ext>
                  </c:extLst>
                </c:dPt>
                <c:dPt>
                  <c:idx val="28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3D-873A-48A4-9C4D-8AB260CAD881}"/>
                    </c:ext>
                  </c:extLst>
                </c:dPt>
                <c:dPt>
                  <c:idx val="28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3F-873A-48A4-9C4D-8AB260CAD881}"/>
                    </c:ext>
                  </c:extLst>
                </c:dPt>
                <c:dPt>
                  <c:idx val="28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41-873A-48A4-9C4D-8AB260CAD881}"/>
                    </c:ext>
                  </c:extLst>
                </c:dPt>
                <c:dPt>
                  <c:idx val="28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43-873A-48A4-9C4D-8AB260CAD881}"/>
                    </c:ext>
                  </c:extLst>
                </c:dPt>
                <c:dPt>
                  <c:idx val="28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45-873A-48A4-9C4D-8AB260CAD881}"/>
                    </c:ext>
                  </c:extLst>
                </c:dPt>
                <c:dPt>
                  <c:idx val="29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47-873A-48A4-9C4D-8AB260CAD881}"/>
                    </c:ext>
                  </c:extLst>
                </c:dPt>
                <c:dPt>
                  <c:idx val="29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49-873A-48A4-9C4D-8AB260CAD881}"/>
                    </c:ext>
                  </c:extLst>
                </c:dPt>
                <c:dPt>
                  <c:idx val="29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4B-873A-48A4-9C4D-8AB260CAD881}"/>
                    </c:ext>
                  </c:extLst>
                </c:dPt>
                <c:dPt>
                  <c:idx val="29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4D-873A-48A4-9C4D-8AB260CAD881}"/>
                    </c:ext>
                  </c:extLst>
                </c:dPt>
                <c:dPt>
                  <c:idx val="29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4F-873A-48A4-9C4D-8AB260CAD881}"/>
                    </c:ext>
                  </c:extLst>
                </c:dPt>
                <c:dPt>
                  <c:idx val="29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51-873A-48A4-9C4D-8AB260CAD881}"/>
                    </c:ext>
                  </c:extLst>
                </c:dPt>
                <c:dPt>
                  <c:idx val="29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53-873A-48A4-9C4D-8AB260CAD881}"/>
                    </c:ext>
                  </c:extLst>
                </c:dPt>
                <c:dPt>
                  <c:idx val="29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55-873A-48A4-9C4D-8AB260CAD881}"/>
                    </c:ext>
                  </c:extLst>
                </c:dPt>
                <c:dPt>
                  <c:idx val="29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57-873A-48A4-9C4D-8AB260CAD881}"/>
                    </c:ext>
                  </c:extLst>
                </c:dPt>
                <c:dPt>
                  <c:idx val="29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59-873A-48A4-9C4D-8AB260CAD881}"/>
                    </c:ext>
                  </c:extLst>
                </c:dPt>
                <c:dPt>
                  <c:idx val="30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5B-873A-48A4-9C4D-8AB260CAD881}"/>
                    </c:ext>
                  </c:extLst>
                </c:dPt>
                <c:dPt>
                  <c:idx val="30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5D-873A-48A4-9C4D-8AB260CAD881}"/>
                    </c:ext>
                  </c:extLst>
                </c:dPt>
                <c:dPt>
                  <c:idx val="30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5F-873A-48A4-9C4D-8AB260CAD881}"/>
                    </c:ext>
                  </c:extLst>
                </c:dPt>
                <c:dPt>
                  <c:idx val="30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61-873A-48A4-9C4D-8AB260CAD881}"/>
                    </c:ext>
                  </c:extLst>
                </c:dPt>
                <c:dPt>
                  <c:idx val="30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63-873A-48A4-9C4D-8AB260CAD881}"/>
                    </c:ext>
                  </c:extLst>
                </c:dPt>
                <c:dPt>
                  <c:idx val="30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65-873A-48A4-9C4D-8AB260CAD881}"/>
                    </c:ext>
                  </c:extLst>
                </c:dPt>
                <c:dPt>
                  <c:idx val="30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67-873A-48A4-9C4D-8AB260CAD881}"/>
                    </c:ext>
                  </c:extLst>
                </c:dPt>
                <c:dPt>
                  <c:idx val="30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69-873A-48A4-9C4D-8AB260CAD881}"/>
                    </c:ext>
                  </c:extLst>
                </c:dPt>
                <c:dPt>
                  <c:idx val="30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6B-873A-48A4-9C4D-8AB260CAD881}"/>
                    </c:ext>
                  </c:extLst>
                </c:dPt>
                <c:dPt>
                  <c:idx val="30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6D-873A-48A4-9C4D-8AB260CAD881}"/>
                    </c:ext>
                  </c:extLst>
                </c:dPt>
                <c:dPt>
                  <c:idx val="31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6F-873A-48A4-9C4D-8AB260CAD881}"/>
                    </c:ext>
                  </c:extLst>
                </c:dPt>
                <c:dPt>
                  <c:idx val="31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71-873A-48A4-9C4D-8AB260CAD881}"/>
                    </c:ext>
                  </c:extLst>
                </c:dPt>
                <c:dPt>
                  <c:idx val="31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73-873A-48A4-9C4D-8AB260CAD881}"/>
                    </c:ext>
                  </c:extLst>
                </c:dPt>
                <c:dPt>
                  <c:idx val="31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75-873A-48A4-9C4D-8AB260CAD881}"/>
                    </c:ext>
                  </c:extLst>
                </c:dPt>
                <c:dPt>
                  <c:idx val="31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77-873A-48A4-9C4D-8AB260CAD881}"/>
                    </c:ext>
                  </c:extLst>
                </c:dPt>
                <c:dPt>
                  <c:idx val="31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79-873A-48A4-9C4D-8AB260CAD881}"/>
                    </c:ext>
                  </c:extLst>
                </c:dPt>
                <c:dPt>
                  <c:idx val="31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7B-873A-48A4-9C4D-8AB260CAD881}"/>
                    </c:ext>
                  </c:extLst>
                </c:dPt>
                <c:dPt>
                  <c:idx val="31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7D-873A-48A4-9C4D-8AB260CAD881}"/>
                    </c:ext>
                  </c:extLst>
                </c:dPt>
                <c:dPt>
                  <c:idx val="31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7F-873A-48A4-9C4D-8AB260CAD881}"/>
                    </c:ext>
                  </c:extLst>
                </c:dPt>
                <c:dPt>
                  <c:idx val="31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81-873A-48A4-9C4D-8AB260CAD881}"/>
                    </c:ext>
                  </c:extLst>
                </c:dPt>
                <c:dPt>
                  <c:idx val="32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83-873A-48A4-9C4D-8AB260CAD881}"/>
                    </c:ext>
                  </c:extLst>
                </c:dPt>
                <c:dPt>
                  <c:idx val="32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85-873A-48A4-9C4D-8AB260CAD881}"/>
                    </c:ext>
                  </c:extLst>
                </c:dPt>
                <c:dPt>
                  <c:idx val="32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87-873A-48A4-9C4D-8AB260CAD881}"/>
                    </c:ext>
                  </c:extLst>
                </c:dPt>
                <c:dPt>
                  <c:idx val="32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89-873A-48A4-9C4D-8AB260CAD881}"/>
                    </c:ext>
                  </c:extLst>
                </c:dPt>
                <c:dPt>
                  <c:idx val="32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8B-873A-48A4-9C4D-8AB260CAD881}"/>
                    </c:ext>
                  </c:extLst>
                </c:dPt>
                <c:dPt>
                  <c:idx val="32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8D-873A-48A4-9C4D-8AB260CAD881}"/>
                    </c:ext>
                  </c:extLst>
                </c:dPt>
                <c:dPt>
                  <c:idx val="32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8F-873A-48A4-9C4D-8AB260CAD881}"/>
                    </c:ext>
                  </c:extLst>
                </c:dPt>
                <c:dPt>
                  <c:idx val="32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91-873A-48A4-9C4D-8AB260CAD881}"/>
                    </c:ext>
                  </c:extLst>
                </c:dPt>
                <c:dPt>
                  <c:idx val="32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93-873A-48A4-9C4D-8AB260CAD881}"/>
                    </c:ext>
                  </c:extLst>
                </c:dPt>
                <c:dPt>
                  <c:idx val="32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95-873A-48A4-9C4D-8AB260CAD881}"/>
                    </c:ext>
                  </c:extLst>
                </c:dPt>
                <c:dPt>
                  <c:idx val="33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97-873A-48A4-9C4D-8AB260CAD881}"/>
                    </c:ext>
                  </c:extLst>
                </c:dPt>
                <c:dPt>
                  <c:idx val="33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99-873A-48A4-9C4D-8AB260CAD881}"/>
                    </c:ext>
                  </c:extLst>
                </c:dPt>
                <c:dPt>
                  <c:idx val="33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9B-873A-48A4-9C4D-8AB260CAD881}"/>
                    </c:ext>
                  </c:extLst>
                </c:dPt>
                <c:dPt>
                  <c:idx val="33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9D-873A-48A4-9C4D-8AB260CAD881}"/>
                    </c:ext>
                  </c:extLst>
                </c:dPt>
                <c:dPt>
                  <c:idx val="33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9F-873A-48A4-9C4D-8AB260CAD881}"/>
                    </c:ext>
                  </c:extLst>
                </c:dPt>
                <c:dPt>
                  <c:idx val="33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A1-873A-48A4-9C4D-8AB260CAD881}"/>
                    </c:ext>
                  </c:extLst>
                </c:dPt>
                <c:dPt>
                  <c:idx val="33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A3-873A-48A4-9C4D-8AB260CAD881}"/>
                    </c:ext>
                  </c:extLst>
                </c:dPt>
                <c:dPt>
                  <c:idx val="33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A5-873A-48A4-9C4D-8AB260CAD881}"/>
                    </c:ext>
                  </c:extLst>
                </c:dPt>
                <c:dPt>
                  <c:idx val="33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A7-873A-48A4-9C4D-8AB260CAD881}"/>
                    </c:ext>
                  </c:extLst>
                </c:dPt>
                <c:dPt>
                  <c:idx val="33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A9-873A-48A4-9C4D-8AB260CAD881}"/>
                    </c:ext>
                  </c:extLst>
                </c:dPt>
                <c:dPt>
                  <c:idx val="34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AB-873A-48A4-9C4D-8AB260CAD881}"/>
                    </c:ext>
                  </c:extLst>
                </c:dPt>
                <c:dPt>
                  <c:idx val="34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AD-873A-48A4-9C4D-8AB260CAD881}"/>
                    </c:ext>
                  </c:extLst>
                </c:dPt>
                <c:dPt>
                  <c:idx val="34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AF-873A-48A4-9C4D-8AB260CAD881}"/>
                    </c:ext>
                  </c:extLst>
                </c:dPt>
                <c:dPt>
                  <c:idx val="34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B1-873A-48A4-9C4D-8AB260CAD881}"/>
                    </c:ext>
                  </c:extLst>
                </c:dPt>
                <c:dPt>
                  <c:idx val="34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B3-873A-48A4-9C4D-8AB260CAD881}"/>
                    </c:ext>
                  </c:extLst>
                </c:dPt>
                <c:dPt>
                  <c:idx val="34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B5-873A-48A4-9C4D-8AB260CAD881}"/>
                    </c:ext>
                  </c:extLst>
                </c:dPt>
                <c:dPt>
                  <c:idx val="34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B7-873A-48A4-9C4D-8AB260CAD881}"/>
                    </c:ext>
                  </c:extLst>
                </c:dPt>
                <c:dPt>
                  <c:idx val="34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B9-873A-48A4-9C4D-8AB260CAD881}"/>
                    </c:ext>
                  </c:extLst>
                </c:dPt>
                <c:dPt>
                  <c:idx val="34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BB-873A-48A4-9C4D-8AB260CAD881}"/>
                    </c:ext>
                  </c:extLst>
                </c:dPt>
                <c:dPt>
                  <c:idx val="34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BD-873A-48A4-9C4D-8AB260CAD881}"/>
                    </c:ext>
                  </c:extLst>
                </c:dPt>
                <c:dPt>
                  <c:idx val="35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BF-873A-48A4-9C4D-8AB260CAD881}"/>
                    </c:ext>
                  </c:extLst>
                </c:dPt>
                <c:dPt>
                  <c:idx val="35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C1-873A-48A4-9C4D-8AB260CAD881}"/>
                    </c:ext>
                  </c:extLst>
                </c:dPt>
                <c:dPt>
                  <c:idx val="35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C3-873A-48A4-9C4D-8AB260CAD881}"/>
                    </c:ext>
                  </c:extLst>
                </c:dPt>
                <c:dPt>
                  <c:idx val="35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C5-873A-48A4-9C4D-8AB260CAD881}"/>
                    </c:ext>
                  </c:extLst>
                </c:dPt>
                <c:dPt>
                  <c:idx val="35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C7-873A-48A4-9C4D-8AB260CAD881}"/>
                    </c:ext>
                  </c:extLst>
                </c:dPt>
                <c:dPt>
                  <c:idx val="35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C9-873A-48A4-9C4D-8AB260CAD881}"/>
                    </c:ext>
                  </c:extLst>
                </c:dPt>
                <c:dPt>
                  <c:idx val="35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CB-873A-48A4-9C4D-8AB260CAD881}"/>
                    </c:ext>
                  </c:extLst>
                </c:dPt>
                <c:dPt>
                  <c:idx val="35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CD-873A-48A4-9C4D-8AB260CAD881}"/>
                    </c:ext>
                  </c:extLst>
                </c:dPt>
                <c:dPt>
                  <c:idx val="35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CF-873A-48A4-9C4D-8AB260CAD881}"/>
                    </c:ext>
                  </c:extLst>
                </c:dPt>
                <c:dPt>
                  <c:idx val="35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D1-873A-48A4-9C4D-8AB260CAD881}"/>
                    </c:ext>
                  </c:extLst>
                </c:dPt>
                <c:dPt>
                  <c:idx val="36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D3-873A-48A4-9C4D-8AB260CAD881}"/>
                    </c:ext>
                  </c:extLst>
                </c:dPt>
                <c:dPt>
                  <c:idx val="36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D5-873A-48A4-9C4D-8AB260CAD881}"/>
                    </c:ext>
                  </c:extLst>
                </c:dPt>
                <c:dPt>
                  <c:idx val="36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D7-873A-48A4-9C4D-8AB260CAD881}"/>
                    </c:ext>
                  </c:extLst>
                </c:dPt>
                <c:dPt>
                  <c:idx val="36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D9-873A-48A4-9C4D-8AB260CAD881}"/>
                    </c:ext>
                  </c:extLst>
                </c:dPt>
                <c:dPt>
                  <c:idx val="36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DB-873A-48A4-9C4D-8AB260CAD881}"/>
                    </c:ext>
                  </c:extLst>
                </c:dPt>
                <c:dPt>
                  <c:idx val="36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DD-873A-48A4-9C4D-8AB260CAD881}"/>
                    </c:ext>
                  </c:extLst>
                </c:dPt>
                <c:dPt>
                  <c:idx val="36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DF-873A-48A4-9C4D-8AB260CAD881}"/>
                    </c:ext>
                  </c:extLst>
                </c:dPt>
                <c:dPt>
                  <c:idx val="36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E1-873A-48A4-9C4D-8AB260CAD881}"/>
                    </c:ext>
                  </c:extLst>
                </c:dPt>
                <c:dPt>
                  <c:idx val="36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E3-873A-48A4-9C4D-8AB260CAD881}"/>
                    </c:ext>
                  </c:extLst>
                </c:dPt>
                <c:dPt>
                  <c:idx val="36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E5-873A-48A4-9C4D-8AB260CAD881}"/>
                    </c:ext>
                  </c:extLst>
                </c:dPt>
                <c:dPt>
                  <c:idx val="37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E7-873A-48A4-9C4D-8AB260CAD881}"/>
                    </c:ext>
                  </c:extLst>
                </c:dPt>
                <c:dPt>
                  <c:idx val="37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E9-873A-48A4-9C4D-8AB260CAD881}"/>
                    </c:ext>
                  </c:extLst>
                </c:dPt>
                <c:dPt>
                  <c:idx val="37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EB-873A-48A4-9C4D-8AB260CAD881}"/>
                    </c:ext>
                  </c:extLst>
                </c:dPt>
                <c:dPt>
                  <c:idx val="37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ED-873A-48A4-9C4D-8AB260CAD881}"/>
                    </c:ext>
                  </c:extLst>
                </c:dPt>
                <c:dPt>
                  <c:idx val="37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EF-873A-48A4-9C4D-8AB260CAD881}"/>
                    </c:ext>
                  </c:extLst>
                </c:dPt>
                <c:dPt>
                  <c:idx val="37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F1-873A-48A4-9C4D-8AB260CAD881}"/>
                    </c:ext>
                  </c:extLst>
                </c:dPt>
                <c:dPt>
                  <c:idx val="37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F3-873A-48A4-9C4D-8AB260CAD881}"/>
                    </c:ext>
                  </c:extLst>
                </c:dPt>
                <c:dPt>
                  <c:idx val="37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F5-873A-48A4-9C4D-8AB260CAD881}"/>
                    </c:ext>
                  </c:extLst>
                </c:dPt>
                <c:dPt>
                  <c:idx val="37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F7-873A-48A4-9C4D-8AB260CAD881}"/>
                    </c:ext>
                  </c:extLst>
                </c:dPt>
                <c:dPt>
                  <c:idx val="37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F9-873A-48A4-9C4D-8AB260CAD881}"/>
                    </c:ext>
                  </c:extLst>
                </c:dPt>
                <c:dPt>
                  <c:idx val="38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FB-873A-48A4-9C4D-8AB260CAD881}"/>
                    </c:ext>
                  </c:extLst>
                </c:dPt>
                <c:dPt>
                  <c:idx val="38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FD-873A-48A4-9C4D-8AB260CAD881}"/>
                    </c:ext>
                  </c:extLst>
                </c:dPt>
                <c:dPt>
                  <c:idx val="38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FF-873A-48A4-9C4D-8AB260CAD881}"/>
                    </c:ext>
                  </c:extLst>
                </c:dPt>
                <c:dPt>
                  <c:idx val="38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01-873A-48A4-9C4D-8AB260CAD881}"/>
                    </c:ext>
                  </c:extLst>
                </c:dPt>
                <c:dPt>
                  <c:idx val="38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03-873A-48A4-9C4D-8AB260CAD881}"/>
                    </c:ext>
                  </c:extLst>
                </c:dPt>
                <c:dPt>
                  <c:idx val="38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05-873A-48A4-9C4D-8AB260CAD881}"/>
                    </c:ext>
                  </c:extLst>
                </c:dPt>
                <c:dPt>
                  <c:idx val="38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07-873A-48A4-9C4D-8AB260CAD881}"/>
                    </c:ext>
                  </c:extLst>
                </c:dPt>
                <c:dPt>
                  <c:idx val="38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09-873A-48A4-9C4D-8AB260CAD881}"/>
                    </c:ext>
                  </c:extLst>
                </c:dPt>
                <c:dPt>
                  <c:idx val="38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0B-873A-48A4-9C4D-8AB260CAD881}"/>
                    </c:ext>
                  </c:extLst>
                </c:dPt>
                <c:dPt>
                  <c:idx val="38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0D-873A-48A4-9C4D-8AB260CAD881}"/>
                    </c:ext>
                  </c:extLst>
                </c:dPt>
                <c:dPt>
                  <c:idx val="39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0F-873A-48A4-9C4D-8AB260CAD881}"/>
                    </c:ext>
                  </c:extLst>
                </c:dPt>
                <c:dPt>
                  <c:idx val="39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11-873A-48A4-9C4D-8AB260CAD881}"/>
                    </c:ext>
                  </c:extLst>
                </c:dPt>
                <c:dPt>
                  <c:idx val="39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13-873A-48A4-9C4D-8AB260CAD881}"/>
                    </c:ext>
                  </c:extLst>
                </c:dPt>
                <c:dPt>
                  <c:idx val="39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15-873A-48A4-9C4D-8AB260CAD881}"/>
                    </c:ext>
                  </c:extLst>
                </c:dPt>
                <c:dPt>
                  <c:idx val="39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17-873A-48A4-9C4D-8AB260CAD881}"/>
                    </c:ext>
                  </c:extLst>
                </c:dPt>
                <c:dPt>
                  <c:idx val="39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19-873A-48A4-9C4D-8AB260CAD881}"/>
                    </c:ext>
                  </c:extLst>
                </c:dPt>
                <c:dPt>
                  <c:idx val="39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1B-873A-48A4-9C4D-8AB260CAD881}"/>
                    </c:ext>
                  </c:extLst>
                </c:dPt>
                <c:dPt>
                  <c:idx val="39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1D-873A-48A4-9C4D-8AB260CAD881}"/>
                    </c:ext>
                  </c:extLst>
                </c:dPt>
                <c:dPt>
                  <c:idx val="39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1F-873A-48A4-9C4D-8AB260CAD881}"/>
                    </c:ext>
                  </c:extLst>
                </c:dPt>
                <c:dPt>
                  <c:idx val="39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21-873A-48A4-9C4D-8AB260CAD881}"/>
                    </c:ext>
                  </c:extLst>
                </c:dPt>
                <c:dPt>
                  <c:idx val="40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23-873A-48A4-9C4D-8AB260CAD881}"/>
                    </c:ext>
                  </c:extLst>
                </c:dPt>
                <c:dPt>
                  <c:idx val="40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25-873A-48A4-9C4D-8AB260CAD881}"/>
                    </c:ext>
                  </c:extLst>
                </c:dPt>
                <c:dPt>
                  <c:idx val="40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27-873A-48A4-9C4D-8AB260CAD881}"/>
                    </c:ext>
                  </c:extLst>
                </c:dPt>
                <c:dPt>
                  <c:idx val="40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29-873A-48A4-9C4D-8AB260CAD881}"/>
                    </c:ext>
                  </c:extLst>
                </c:dPt>
                <c:dPt>
                  <c:idx val="40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2B-873A-48A4-9C4D-8AB260CAD881}"/>
                    </c:ext>
                  </c:extLst>
                </c:dPt>
                <c:dPt>
                  <c:idx val="40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2D-873A-48A4-9C4D-8AB260CAD881}"/>
                    </c:ext>
                  </c:extLst>
                </c:dPt>
                <c:dPt>
                  <c:idx val="40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2F-873A-48A4-9C4D-8AB260CAD881}"/>
                    </c:ext>
                  </c:extLst>
                </c:dPt>
                <c:dPt>
                  <c:idx val="40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31-873A-48A4-9C4D-8AB260CAD881}"/>
                    </c:ext>
                  </c:extLst>
                </c:dPt>
                <c:dPt>
                  <c:idx val="40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33-873A-48A4-9C4D-8AB260CAD881}"/>
                    </c:ext>
                  </c:extLst>
                </c:dPt>
                <c:dPt>
                  <c:idx val="40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35-873A-48A4-9C4D-8AB260CAD881}"/>
                    </c:ext>
                  </c:extLst>
                </c:dPt>
                <c:dPt>
                  <c:idx val="41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37-873A-48A4-9C4D-8AB260CAD881}"/>
                    </c:ext>
                  </c:extLst>
                </c:dPt>
                <c:dPt>
                  <c:idx val="41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39-873A-48A4-9C4D-8AB260CAD881}"/>
                    </c:ext>
                  </c:extLst>
                </c:dPt>
                <c:dPt>
                  <c:idx val="41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3B-873A-48A4-9C4D-8AB260CAD881}"/>
                    </c:ext>
                  </c:extLst>
                </c:dPt>
                <c:dPt>
                  <c:idx val="41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3D-873A-48A4-9C4D-8AB260CAD881}"/>
                    </c:ext>
                  </c:extLst>
                </c:dPt>
                <c:dPt>
                  <c:idx val="41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3F-873A-48A4-9C4D-8AB260CAD881}"/>
                    </c:ext>
                  </c:extLst>
                </c:dPt>
                <c:dPt>
                  <c:idx val="41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41-873A-48A4-9C4D-8AB260CAD881}"/>
                    </c:ext>
                  </c:extLst>
                </c:dPt>
                <c:dPt>
                  <c:idx val="41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43-873A-48A4-9C4D-8AB260CAD881}"/>
                    </c:ext>
                  </c:extLst>
                </c:dPt>
                <c:dPt>
                  <c:idx val="41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45-873A-48A4-9C4D-8AB260CAD881}"/>
                    </c:ext>
                  </c:extLst>
                </c:dPt>
                <c:dPt>
                  <c:idx val="41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47-873A-48A4-9C4D-8AB260CAD881}"/>
                    </c:ext>
                  </c:extLst>
                </c:dPt>
                <c:dPt>
                  <c:idx val="41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49-873A-48A4-9C4D-8AB260CAD881}"/>
                    </c:ext>
                  </c:extLst>
                </c:dPt>
                <c:dPt>
                  <c:idx val="42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4B-873A-48A4-9C4D-8AB260CAD881}"/>
                    </c:ext>
                  </c:extLst>
                </c:dPt>
                <c:dPt>
                  <c:idx val="42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4D-873A-48A4-9C4D-8AB260CAD881}"/>
                    </c:ext>
                  </c:extLst>
                </c:dPt>
                <c:dPt>
                  <c:idx val="42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4F-873A-48A4-9C4D-8AB260CAD881}"/>
                    </c:ext>
                  </c:extLst>
                </c:dPt>
                <c:dPt>
                  <c:idx val="42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51-873A-48A4-9C4D-8AB260CAD881}"/>
                    </c:ext>
                  </c:extLst>
                </c:dPt>
                <c:dPt>
                  <c:idx val="42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53-873A-48A4-9C4D-8AB260CAD881}"/>
                    </c:ext>
                  </c:extLst>
                </c:dPt>
                <c:dPt>
                  <c:idx val="42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55-873A-48A4-9C4D-8AB260CAD881}"/>
                    </c:ext>
                  </c:extLst>
                </c:dPt>
                <c:dPt>
                  <c:idx val="42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57-873A-48A4-9C4D-8AB260CAD881}"/>
                    </c:ext>
                  </c:extLst>
                </c:dPt>
                <c:dPt>
                  <c:idx val="42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59-873A-48A4-9C4D-8AB260CAD881}"/>
                    </c:ext>
                  </c:extLst>
                </c:dPt>
                <c:dPt>
                  <c:idx val="42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5B-873A-48A4-9C4D-8AB260CAD881}"/>
                    </c:ext>
                  </c:extLst>
                </c:dPt>
                <c:dPt>
                  <c:idx val="42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5D-873A-48A4-9C4D-8AB260CAD881}"/>
                    </c:ext>
                  </c:extLst>
                </c:dPt>
                <c:dPt>
                  <c:idx val="43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5F-873A-48A4-9C4D-8AB260CAD881}"/>
                    </c:ext>
                  </c:extLst>
                </c:dPt>
                <c:dPt>
                  <c:idx val="43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61-873A-48A4-9C4D-8AB260CAD881}"/>
                    </c:ext>
                  </c:extLst>
                </c:dPt>
                <c:dPt>
                  <c:idx val="43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63-873A-48A4-9C4D-8AB260CAD881}"/>
                    </c:ext>
                  </c:extLst>
                </c:dPt>
                <c:dPt>
                  <c:idx val="43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65-873A-48A4-9C4D-8AB260CAD881}"/>
                    </c:ext>
                  </c:extLst>
                </c:dPt>
                <c:dPt>
                  <c:idx val="43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67-873A-48A4-9C4D-8AB260CAD881}"/>
                    </c:ext>
                  </c:extLst>
                </c:dPt>
                <c:dPt>
                  <c:idx val="43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69-873A-48A4-9C4D-8AB260CAD881}"/>
                    </c:ext>
                  </c:extLst>
                </c:dPt>
                <c:dPt>
                  <c:idx val="43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6B-873A-48A4-9C4D-8AB260CAD881}"/>
                    </c:ext>
                  </c:extLst>
                </c:dPt>
                <c:dPt>
                  <c:idx val="43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6D-873A-48A4-9C4D-8AB260CAD881}"/>
                    </c:ext>
                  </c:extLst>
                </c:dPt>
                <c:dPt>
                  <c:idx val="43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6F-873A-48A4-9C4D-8AB260CAD881}"/>
                    </c:ext>
                  </c:extLst>
                </c:dPt>
                <c:dPt>
                  <c:idx val="43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71-873A-48A4-9C4D-8AB260CAD881}"/>
                    </c:ext>
                  </c:extLst>
                </c:dPt>
                <c:dPt>
                  <c:idx val="44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73-873A-48A4-9C4D-8AB260CAD881}"/>
                    </c:ext>
                  </c:extLst>
                </c:dPt>
                <c:dPt>
                  <c:idx val="44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75-873A-48A4-9C4D-8AB260CAD881}"/>
                    </c:ext>
                  </c:extLst>
                </c:dPt>
                <c:dPt>
                  <c:idx val="44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77-873A-48A4-9C4D-8AB260CAD881}"/>
                    </c:ext>
                  </c:extLst>
                </c:dPt>
                <c:dPt>
                  <c:idx val="44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79-873A-48A4-9C4D-8AB260CAD881}"/>
                    </c:ext>
                  </c:extLst>
                </c:dPt>
                <c:dPt>
                  <c:idx val="44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7B-873A-48A4-9C4D-8AB260CAD881}"/>
                    </c:ext>
                  </c:extLst>
                </c:dPt>
                <c:dPt>
                  <c:idx val="44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7D-873A-48A4-9C4D-8AB260CAD881}"/>
                    </c:ext>
                  </c:extLst>
                </c:dPt>
                <c:dPt>
                  <c:idx val="44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7F-873A-48A4-9C4D-8AB260CAD881}"/>
                    </c:ext>
                  </c:extLst>
                </c:dPt>
                <c:dPt>
                  <c:idx val="44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81-873A-48A4-9C4D-8AB260CAD881}"/>
                    </c:ext>
                  </c:extLst>
                </c:dPt>
                <c:dPt>
                  <c:idx val="44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83-873A-48A4-9C4D-8AB260CAD881}"/>
                    </c:ext>
                  </c:extLst>
                </c:dPt>
                <c:dPt>
                  <c:idx val="44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85-873A-48A4-9C4D-8AB260CAD881}"/>
                    </c:ext>
                  </c:extLst>
                </c:dPt>
                <c:dPt>
                  <c:idx val="45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87-873A-48A4-9C4D-8AB260CAD881}"/>
                    </c:ext>
                  </c:extLst>
                </c:dPt>
                <c:dPt>
                  <c:idx val="45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89-873A-48A4-9C4D-8AB260CAD881}"/>
                    </c:ext>
                  </c:extLst>
                </c:dPt>
                <c:dPt>
                  <c:idx val="45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8B-873A-48A4-9C4D-8AB260CAD881}"/>
                    </c:ext>
                  </c:extLst>
                </c:dPt>
                <c:dPt>
                  <c:idx val="45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8D-873A-48A4-9C4D-8AB260CAD881}"/>
                    </c:ext>
                  </c:extLst>
                </c:dPt>
                <c:dPt>
                  <c:idx val="45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8F-873A-48A4-9C4D-8AB260CAD881}"/>
                    </c:ext>
                  </c:extLst>
                </c:dPt>
                <c:dPt>
                  <c:idx val="45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91-873A-48A4-9C4D-8AB260CAD881}"/>
                    </c:ext>
                  </c:extLst>
                </c:dPt>
                <c:dPt>
                  <c:idx val="45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93-873A-48A4-9C4D-8AB260CAD881}"/>
                    </c:ext>
                  </c:extLst>
                </c:dPt>
                <c:dPt>
                  <c:idx val="45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95-873A-48A4-9C4D-8AB260CAD881}"/>
                    </c:ext>
                  </c:extLst>
                </c:dPt>
                <c:dPt>
                  <c:idx val="45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97-873A-48A4-9C4D-8AB260CAD881}"/>
                    </c:ext>
                  </c:extLst>
                </c:dPt>
                <c:dPt>
                  <c:idx val="45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99-873A-48A4-9C4D-8AB260CAD881}"/>
                    </c:ext>
                  </c:extLst>
                </c:dPt>
                <c:dPt>
                  <c:idx val="46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9B-873A-48A4-9C4D-8AB260CAD881}"/>
                    </c:ext>
                  </c:extLst>
                </c:dPt>
                <c:dPt>
                  <c:idx val="46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9D-873A-48A4-9C4D-8AB260CAD881}"/>
                    </c:ext>
                  </c:extLst>
                </c:dPt>
                <c:dPt>
                  <c:idx val="46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9F-873A-48A4-9C4D-8AB260CAD881}"/>
                    </c:ext>
                  </c:extLst>
                </c:dPt>
                <c:dPt>
                  <c:idx val="46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A1-873A-48A4-9C4D-8AB260CAD881}"/>
                    </c:ext>
                  </c:extLst>
                </c:dPt>
                <c:dPt>
                  <c:idx val="46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A3-873A-48A4-9C4D-8AB260CAD881}"/>
                    </c:ext>
                  </c:extLst>
                </c:dPt>
                <c:dPt>
                  <c:idx val="46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A5-873A-48A4-9C4D-8AB260CAD881}"/>
                    </c:ext>
                  </c:extLst>
                </c:dPt>
                <c:dPt>
                  <c:idx val="46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A7-873A-48A4-9C4D-8AB260CAD881}"/>
                    </c:ext>
                  </c:extLst>
                </c:dPt>
                <c:dPt>
                  <c:idx val="46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A9-873A-48A4-9C4D-8AB260CAD881}"/>
                    </c:ext>
                  </c:extLst>
                </c:dPt>
                <c:dPt>
                  <c:idx val="46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AB-873A-48A4-9C4D-8AB260CAD881}"/>
                    </c:ext>
                  </c:extLst>
                </c:dPt>
                <c:dPt>
                  <c:idx val="46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AD-873A-48A4-9C4D-8AB260CAD881}"/>
                    </c:ext>
                  </c:extLst>
                </c:dPt>
                <c:dPt>
                  <c:idx val="47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AF-873A-48A4-9C4D-8AB260CAD881}"/>
                    </c:ext>
                  </c:extLst>
                </c:dPt>
                <c:dPt>
                  <c:idx val="47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B1-873A-48A4-9C4D-8AB260CAD881}"/>
                    </c:ext>
                  </c:extLst>
                </c:dPt>
                <c:dPt>
                  <c:idx val="47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B3-873A-48A4-9C4D-8AB260CAD881}"/>
                    </c:ext>
                  </c:extLst>
                </c:dPt>
                <c:dPt>
                  <c:idx val="47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B5-873A-48A4-9C4D-8AB260CAD881}"/>
                    </c:ext>
                  </c:extLst>
                </c:dPt>
                <c:dPt>
                  <c:idx val="47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B7-873A-48A4-9C4D-8AB260CAD881}"/>
                    </c:ext>
                  </c:extLst>
                </c:dPt>
                <c:dPt>
                  <c:idx val="47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B9-873A-48A4-9C4D-8AB260CAD881}"/>
                    </c:ext>
                  </c:extLst>
                </c:dPt>
                <c:dPt>
                  <c:idx val="47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BB-873A-48A4-9C4D-8AB260CAD881}"/>
                    </c:ext>
                  </c:extLst>
                </c:dPt>
                <c:dPt>
                  <c:idx val="47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BD-873A-48A4-9C4D-8AB260CAD881}"/>
                    </c:ext>
                  </c:extLst>
                </c:dPt>
                <c:dPt>
                  <c:idx val="47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BF-873A-48A4-9C4D-8AB260CAD881}"/>
                    </c:ext>
                  </c:extLst>
                </c:dPt>
                <c:dPt>
                  <c:idx val="47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C1-873A-48A4-9C4D-8AB260CAD881}"/>
                    </c:ext>
                  </c:extLst>
                </c:dPt>
                <c:dPt>
                  <c:idx val="48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C3-873A-48A4-9C4D-8AB260CAD881}"/>
                    </c:ext>
                  </c:extLst>
                </c:dPt>
                <c:dPt>
                  <c:idx val="48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C5-873A-48A4-9C4D-8AB260CAD881}"/>
                    </c:ext>
                  </c:extLst>
                </c:dPt>
                <c:dPt>
                  <c:idx val="48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C7-873A-48A4-9C4D-8AB260CAD881}"/>
                    </c:ext>
                  </c:extLst>
                </c:dPt>
                <c:dPt>
                  <c:idx val="48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C9-873A-48A4-9C4D-8AB260CAD881}"/>
                    </c:ext>
                  </c:extLst>
                </c:dPt>
                <c:dPt>
                  <c:idx val="48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CB-873A-48A4-9C4D-8AB260CAD881}"/>
                    </c:ext>
                  </c:extLst>
                </c:dPt>
                <c:dPt>
                  <c:idx val="48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CD-873A-48A4-9C4D-8AB260CAD881}"/>
                    </c:ext>
                  </c:extLst>
                </c:dPt>
                <c:dPt>
                  <c:idx val="48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CF-873A-48A4-9C4D-8AB260CAD881}"/>
                    </c:ext>
                  </c:extLst>
                </c:dPt>
                <c:dPt>
                  <c:idx val="48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D1-873A-48A4-9C4D-8AB260CAD881}"/>
                    </c:ext>
                  </c:extLst>
                </c:dPt>
                <c:dPt>
                  <c:idx val="48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D3-873A-48A4-9C4D-8AB260CAD881}"/>
                    </c:ext>
                  </c:extLst>
                </c:dPt>
                <c:dPt>
                  <c:idx val="48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D5-873A-48A4-9C4D-8AB260CAD881}"/>
                    </c:ext>
                  </c:extLst>
                </c:dPt>
                <c:dPt>
                  <c:idx val="49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D7-873A-48A4-9C4D-8AB260CAD881}"/>
                    </c:ext>
                  </c:extLst>
                </c:dPt>
                <c:dPt>
                  <c:idx val="49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D9-873A-48A4-9C4D-8AB260CAD881}"/>
                    </c:ext>
                  </c:extLst>
                </c:dPt>
                <c:dPt>
                  <c:idx val="49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DB-873A-48A4-9C4D-8AB260CAD881}"/>
                    </c:ext>
                  </c:extLst>
                </c:dPt>
                <c:dPt>
                  <c:idx val="49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DD-873A-48A4-9C4D-8AB260CAD881}"/>
                    </c:ext>
                  </c:extLst>
                </c:dPt>
                <c:dPt>
                  <c:idx val="49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DF-873A-48A4-9C4D-8AB260CAD881}"/>
                    </c:ext>
                  </c:extLst>
                </c:dPt>
                <c:dPt>
                  <c:idx val="49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E1-873A-48A4-9C4D-8AB260CAD881}"/>
                    </c:ext>
                  </c:extLst>
                </c:dPt>
                <c:dPt>
                  <c:idx val="49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E3-873A-48A4-9C4D-8AB260CAD881}"/>
                    </c:ext>
                  </c:extLst>
                </c:dPt>
                <c:dPt>
                  <c:idx val="49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E5-873A-48A4-9C4D-8AB260CAD881}"/>
                    </c:ext>
                  </c:extLst>
                </c:dPt>
                <c:dPt>
                  <c:idx val="49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E7-873A-48A4-9C4D-8AB260CAD881}"/>
                    </c:ext>
                  </c:extLst>
                </c:dPt>
                <c:dPt>
                  <c:idx val="49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E9-873A-48A4-9C4D-8AB260CAD881}"/>
                    </c:ext>
                  </c:extLst>
                </c:dPt>
                <c:dPt>
                  <c:idx val="50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EB-873A-48A4-9C4D-8AB260CAD881}"/>
                    </c:ext>
                  </c:extLst>
                </c:dPt>
                <c:dPt>
                  <c:idx val="50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ED-873A-48A4-9C4D-8AB260CAD881}"/>
                    </c:ext>
                  </c:extLst>
                </c:dPt>
                <c:dPt>
                  <c:idx val="50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EF-873A-48A4-9C4D-8AB260CAD881}"/>
                    </c:ext>
                  </c:extLst>
                </c:dPt>
                <c:dPt>
                  <c:idx val="50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F1-873A-48A4-9C4D-8AB260CAD881}"/>
                    </c:ext>
                  </c:extLst>
                </c:dPt>
                <c:dPt>
                  <c:idx val="50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F3-873A-48A4-9C4D-8AB260CAD881}"/>
                    </c:ext>
                  </c:extLst>
                </c:dPt>
                <c:dPt>
                  <c:idx val="50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F5-873A-48A4-9C4D-8AB260CAD881}"/>
                    </c:ext>
                  </c:extLst>
                </c:dPt>
                <c:dPt>
                  <c:idx val="50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F7-873A-48A4-9C4D-8AB260CAD881}"/>
                    </c:ext>
                  </c:extLst>
                </c:dPt>
                <c:dPt>
                  <c:idx val="50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F9-873A-48A4-9C4D-8AB260CAD881}"/>
                    </c:ext>
                  </c:extLst>
                </c:dPt>
                <c:dPt>
                  <c:idx val="50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FB-873A-48A4-9C4D-8AB260CAD881}"/>
                    </c:ext>
                  </c:extLst>
                </c:dPt>
                <c:dPt>
                  <c:idx val="50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FD-873A-48A4-9C4D-8AB260CAD881}"/>
                    </c:ext>
                  </c:extLst>
                </c:dPt>
                <c:dPt>
                  <c:idx val="51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FF-873A-48A4-9C4D-8AB260CAD881}"/>
                    </c:ext>
                  </c:extLst>
                </c:dPt>
                <c:dPt>
                  <c:idx val="51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01-873A-48A4-9C4D-8AB260CAD881}"/>
                    </c:ext>
                  </c:extLst>
                </c:dPt>
                <c:dPt>
                  <c:idx val="51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03-873A-48A4-9C4D-8AB260CAD881}"/>
                    </c:ext>
                  </c:extLst>
                </c:dPt>
                <c:dPt>
                  <c:idx val="51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05-873A-48A4-9C4D-8AB260CAD881}"/>
                    </c:ext>
                  </c:extLst>
                </c:dPt>
                <c:dPt>
                  <c:idx val="51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07-873A-48A4-9C4D-8AB260CAD881}"/>
                    </c:ext>
                  </c:extLst>
                </c:dPt>
                <c:dPt>
                  <c:idx val="51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09-873A-48A4-9C4D-8AB260CAD881}"/>
                    </c:ext>
                  </c:extLst>
                </c:dPt>
                <c:dPt>
                  <c:idx val="51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0B-873A-48A4-9C4D-8AB260CAD881}"/>
                    </c:ext>
                  </c:extLst>
                </c:dPt>
                <c:dPt>
                  <c:idx val="51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0D-873A-48A4-9C4D-8AB260CAD881}"/>
                    </c:ext>
                  </c:extLst>
                </c:dPt>
                <c:dPt>
                  <c:idx val="51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0F-873A-48A4-9C4D-8AB260CAD881}"/>
                    </c:ext>
                  </c:extLst>
                </c:dPt>
                <c:dPt>
                  <c:idx val="51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11-873A-48A4-9C4D-8AB260CAD881}"/>
                    </c:ext>
                  </c:extLst>
                </c:dPt>
                <c:dPt>
                  <c:idx val="52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13-873A-48A4-9C4D-8AB260CAD881}"/>
                    </c:ext>
                  </c:extLst>
                </c:dPt>
                <c:dPt>
                  <c:idx val="52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15-873A-48A4-9C4D-8AB260CAD881}"/>
                    </c:ext>
                  </c:extLst>
                </c:dPt>
                <c:dPt>
                  <c:idx val="52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17-873A-48A4-9C4D-8AB260CAD881}"/>
                    </c:ext>
                  </c:extLst>
                </c:dPt>
                <c:dPt>
                  <c:idx val="52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19-873A-48A4-9C4D-8AB260CAD881}"/>
                    </c:ext>
                  </c:extLst>
                </c:dPt>
                <c:dPt>
                  <c:idx val="52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1B-873A-48A4-9C4D-8AB260CAD881}"/>
                    </c:ext>
                  </c:extLst>
                </c:dPt>
                <c:dPt>
                  <c:idx val="52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1D-873A-48A4-9C4D-8AB260CAD881}"/>
                    </c:ext>
                  </c:extLst>
                </c:dPt>
                <c:dPt>
                  <c:idx val="52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1F-873A-48A4-9C4D-8AB260CAD881}"/>
                    </c:ext>
                  </c:extLst>
                </c:dPt>
                <c:dPt>
                  <c:idx val="52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21-873A-48A4-9C4D-8AB260CAD881}"/>
                    </c:ext>
                  </c:extLst>
                </c:dPt>
                <c:dPt>
                  <c:idx val="52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23-873A-48A4-9C4D-8AB260CAD881}"/>
                    </c:ext>
                  </c:extLst>
                </c:dPt>
                <c:dPt>
                  <c:idx val="52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25-873A-48A4-9C4D-8AB260CAD881}"/>
                    </c:ext>
                  </c:extLst>
                </c:dPt>
                <c:dPt>
                  <c:idx val="53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27-873A-48A4-9C4D-8AB260CAD881}"/>
                    </c:ext>
                  </c:extLst>
                </c:dPt>
                <c:dPt>
                  <c:idx val="53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29-873A-48A4-9C4D-8AB260CAD881}"/>
                    </c:ext>
                  </c:extLst>
                </c:dPt>
                <c:dPt>
                  <c:idx val="53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2B-873A-48A4-9C4D-8AB260CAD881}"/>
                    </c:ext>
                  </c:extLst>
                </c:dPt>
                <c:dPt>
                  <c:idx val="53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2D-873A-48A4-9C4D-8AB260CAD881}"/>
                    </c:ext>
                  </c:extLst>
                </c:dPt>
                <c:dPt>
                  <c:idx val="53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2F-873A-48A4-9C4D-8AB260CAD881}"/>
                    </c:ext>
                  </c:extLst>
                </c:dPt>
                <c:dPt>
                  <c:idx val="53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31-873A-48A4-9C4D-8AB260CAD881}"/>
                    </c:ext>
                  </c:extLst>
                </c:dPt>
                <c:dPt>
                  <c:idx val="53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33-873A-48A4-9C4D-8AB260CAD881}"/>
                    </c:ext>
                  </c:extLst>
                </c:dPt>
                <c:dPt>
                  <c:idx val="53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35-873A-48A4-9C4D-8AB260CAD881}"/>
                    </c:ext>
                  </c:extLst>
                </c:dPt>
                <c:dPt>
                  <c:idx val="53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37-873A-48A4-9C4D-8AB260CAD881}"/>
                    </c:ext>
                  </c:extLst>
                </c:dPt>
                <c:dPt>
                  <c:idx val="53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39-873A-48A4-9C4D-8AB260CAD881}"/>
                    </c:ext>
                  </c:extLst>
                </c:dPt>
                <c:dPt>
                  <c:idx val="54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3B-873A-48A4-9C4D-8AB260CAD881}"/>
                    </c:ext>
                  </c:extLst>
                </c:dPt>
                <c:dPt>
                  <c:idx val="54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3D-873A-48A4-9C4D-8AB260CAD881}"/>
                    </c:ext>
                  </c:extLst>
                </c:dPt>
                <c:dPt>
                  <c:idx val="54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3F-873A-48A4-9C4D-8AB260CAD881}"/>
                    </c:ext>
                  </c:extLst>
                </c:dPt>
                <c:dPt>
                  <c:idx val="54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41-873A-48A4-9C4D-8AB260CAD881}"/>
                    </c:ext>
                  </c:extLst>
                </c:dPt>
                <c:dPt>
                  <c:idx val="54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43-873A-48A4-9C4D-8AB260CAD881}"/>
                    </c:ext>
                  </c:extLst>
                </c:dPt>
                <c:dPt>
                  <c:idx val="54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45-873A-48A4-9C4D-8AB260CAD881}"/>
                    </c:ext>
                  </c:extLst>
                </c:dPt>
                <c:dPt>
                  <c:idx val="54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47-873A-48A4-9C4D-8AB260CAD881}"/>
                    </c:ext>
                  </c:extLst>
                </c:dPt>
                <c:dPt>
                  <c:idx val="54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49-873A-48A4-9C4D-8AB260CAD881}"/>
                    </c:ext>
                  </c:extLst>
                </c:dPt>
                <c:dPt>
                  <c:idx val="54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4B-873A-48A4-9C4D-8AB260CAD881}"/>
                    </c:ext>
                  </c:extLst>
                </c:dPt>
                <c:dPt>
                  <c:idx val="54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4D-873A-48A4-9C4D-8AB260CAD881}"/>
                    </c:ext>
                  </c:extLst>
                </c:dPt>
                <c:dPt>
                  <c:idx val="55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4F-873A-48A4-9C4D-8AB260CAD881}"/>
                    </c:ext>
                  </c:extLst>
                </c:dPt>
                <c:dPt>
                  <c:idx val="55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51-873A-48A4-9C4D-8AB260CAD881}"/>
                    </c:ext>
                  </c:extLst>
                </c:dPt>
                <c:dPt>
                  <c:idx val="55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53-873A-48A4-9C4D-8AB260CAD881}"/>
                    </c:ext>
                  </c:extLst>
                </c:dPt>
                <c:dPt>
                  <c:idx val="55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55-873A-48A4-9C4D-8AB260CAD881}"/>
                    </c:ext>
                  </c:extLst>
                </c:dPt>
                <c:dPt>
                  <c:idx val="55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57-873A-48A4-9C4D-8AB260CAD881}"/>
                    </c:ext>
                  </c:extLst>
                </c:dPt>
                <c:dPt>
                  <c:idx val="55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59-873A-48A4-9C4D-8AB260CAD881}"/>
                    </c:ext>
                  </c:extLst>
                </c:dPt>
                <c:dPt>
                  <c:idx val="55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5B-873A-48A4-9C4D-8AB260CAD881}"/>
                    </c:ext>
                  </c:extLst>
                </c:dPt>
                <c:dPt>
                  <c:idx val="55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5D-873A-48A4-9C4D-8AB260CAD881}"/>
                    </c:ext>
                  </c:extLst>
                </c:dPt>
                <c:dPt>
                  <c:idx val="55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5F-873A-48A4-9C4D-8AB260CAD881}"/>
                    </c:ext>
                  </c:extLst>
                </c:dPt>
                <c:dPt>
                  <c:idx val="55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61-873A-48A4-9C4D-8AB260CAD881}"/>
                    </c:ext>
                  </c:extLst>
                </c:dPt>
                <c:dPt>
                  <c:idx val="56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63-873A-48A4-9C4D-8AB260CAD881}"/>
                    </c:ext>
                  </c:extLst>
                </c:dPt>
                <c:dPt>
                  <c:idx val="56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65-873A-48A4-9C4D-8AB260CAD881}"/>
                    </c:ext>
                  </c:extLst>
                </c:dPt>
                <c:dPt>
                  <c:idx val="56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67-873A-48A4-9C4D-8AB260CAD881}"/>
                    </c:ext>
                  </c:extLst>
                </c:dPt>
                <c:dPt>
                  <c:idx val="56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69-873A-48A4-9C4D-8AB260CAD881}"/>
                    </c:ext>
                  </c:extLst>
                </c:dPt>
                <c:dPt>
                  <c:idx val="56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6B-873A-48A4-9C4D-8AB260CAD881}"/>
                    </c:ext>
                  </c:extLst>
                </c:dPt>
                <c:dPt>
                  <c:idx val="56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6D-873A-48A4-9C4D-8AB260CAD881}"/>
                    </c:ext>
                  </c:extLst>
                </c:dPt>
                <c:dPt>
                  <c:idx val="56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6F-873A-48A4-9C4D-8AB260CAD881}"/>
                    </c:ext>
                  </c:extLst>
                </c:dPt>
                <c:dPt>
                  <c:idx val="56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71-873A-48A4-9C4D-8AB260CAD881}"/>
                    </c:ext>
                  </c:extLst>
                </c:dPt>
                <c:dPt>
                  <c:idx val="56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73-873A-48A4-9C4D-8AB260CAD881}"/>
                    </c:ext>
                  </c:extLst>
                </c:dPt>
                <c:dPt>
                  <c:idx val="56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75-873A-48A4-9C4D-8AB260CAD881}"/>
                    </c:ext>
                  </c:extLst>
                </c:dPt>
                <c:dPt>
                  <c:idx val="57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77-873A-48A4-9C4D-8AB260CAD881}"/>
                    </c:ext>
                  </c:extLst>
                </c:dPt>
                <c:dPt>
                  <c:idx val="57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79-873A-48A4-9C4D-8AB260CAD881}"/>
                    </c:ext>
                  </c:extLst>
                </c:dPt>
                <c:dPt>
                  <c:idx val="57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7B-873A-48A4-9C4D-8AB260CAD881}"/>
                    </c:ext>
                  </c:extLst>
                </c:dPt>
                <c:dPt>
                  <c:idx val="57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7D-873A-48A4-9C4D-8AB260CAD881}"/>
                    </c:ext>
                  </c:extLst>
                </c:dPt>
                <c:dPt>
                  <c:idx val="57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7F-873A-48A4-9C4D-8AB260CAD881}"/>
                    </c:ext>
                  </c:extLst>
                </c:dPt>
                <c:dPt>
                  <c:idx val="57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81-873A-48A4-9C4D-8AB260CAD881}"/>
                    </c:ext>
                  </c:extLst>
                </c:dPt>
                <c:dPt>
                  <c:idx val="57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83-873A-48A4-9C4D-8AB260CAD881}"/>
                    </c:ext>
                  </c:extLst>
                </c:dPt>
                <c:dPt>
                  <c:idx val="57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85-873A-48A4-9C4D-8AB260CAD881}"/>
                    </c:ext>
                  </c:extLst>
                </c:dPt>
                <c:dPt>
                  <c:idx val="57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87-873A-48A4-9C4D-8AB260CAD881}"/>
                    </c:ext>
                  </c:extLst>
                </c:dPt>
                <c:dPt>
                  <c:idx val="57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89-873A-48A4-9C4D-8AB260CAD881}"/>
                    </c:ext>
                  </c:extLst>
                </c:dPt>
                <c:dPt>
                  <c:idx val="58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8B-873A-48A4-9C4D-8AB260CAD881}"/>
                    </c:ext>
                  </c:extLst>
                </c:dPt>
                <c:dPt>
                  <c:idx val="58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8D-873A-48A4-9C4D-8AB260CAD881}"/>
                    </c:ext>
                  </c:extLst>
                </c:dPt>
                <c:dPt>
                  <c:idx val="58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8F-873A-48A4-9C4D-8AB260CAD881}"/>
                    </c:ext>
                  </c:extLst>
                </c:dPt>
                <c:dPt>
                  <c:idx val="58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91-873A-48A4-9C4D-8AB260CAD881}"/>
                    </c:ext>
                  </c:extLst>
                </c:dPt>
                <c:dPt>
                  <c:idx val="58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93-873A-48A4-9C4D-8AB260CAD881}"/>
                    </c:ext>
                  </c:extLst>
                </c:dPt>
                <c:dPt>
                  <c:idx val="58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95-873A-48A4-9C4D-8AB260CAD881}"/>
                    </c:ext>
                  </c:extLst>
                </c:dPt>
                <c:dPt>
                  <c:idx val="58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97-873A-48A4-9C4D-8AB260CAD881}"/>
                    </c:ext>
                  </c:extLst>
                </c:dPt>
                <c:dPt>
                  <c:idx val="58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99-873A-48A4-9C4D-8AB260CAD881}"/>
                    </c:ext>
                  </c:extLst>
                </c:dPt>
                <c:dPt>
                  <c:idx val="58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9B-873A-48A4-9C4D-8AB260CAD881}"/>
                    </c:ext>
                  </c:extLst>
                </c:dPt>
                <c:dPt>
                  <c:idx val="58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9D-873A-48A4-9C4D-8AB260CAD881}"/>
                    </c:ext>
                  </c:extLst>
                </c:dPt>
                <c:dPt>
                  <c:idx val="59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9F-873A-48A4-9C4D-8AB260CAD881}"/>
                    </c:ext>
                  </c:extLst>
                </c:dPt>
                <c:dPt>
                  <c:idx val="59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A1-873A-48A4-9C4D-8AB260CAD881}"/>
                    </c:ext>
                  </c:extLst>
                </c:dPt>
                <c:dPt>
                  <c:idx val="59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A3-873A-48A4-9C4D-8AB260CAD881}"/>
                    </c:ext>
                  </c:extLst>
                </c:dPt>
                <c:dPt>
                  <c:idx val="59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A5-873A-48A4-9C4D-8AB260CAD881}"/>
                    </c:ext>
                  </c:extLst>
                </c:dPt>
                <c:dPt>
                  <c:idx val="59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A7-873A-48A4-9C4D-8AB260CAD881}"/>
                    </c:ext>
                  </c:extLst>
                </c:dPt>
                <c:dPt>
                  <c:idx val="59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A9-873A-48A4-9C4D-8AB260CAD881}"/>
                    </c:ext>
                  </c:extLst>
                </c:dPt>
                <c:dPt>
                  <c:idx val="59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AB-873A-48A4-9C4D-8AB260CAD881}"/>
                    </c:ext>
                  </c:extLst>
                </c:dPt>
                <c:dPt>
                  <c:idx val="59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AD-873A-48A4-9C4D-8AB260CAD881}"/>
                    </c:ext>
                  </c:extLst>
                </c:dPt>
                <c:dPt>
                  <c:idx val="59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AF-873A-48A4-9C4D-8AB260CAD881}"/>
                    </c:ext>
                  </c:extLst>
                </c:dPt>
                <c:dPt>
                  <c:idx val="59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B1-873A-48A4-9C4D-8AB260CAD881}"/>
                    </c:ext>
                  </c:extLst>
                </c:dPt>
                <c:dPt>
                  <c:idx val="60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B3-873A-48A4-9C4D-8AB260CAD881}"/>
                    </c:ext>
                  </c:extLst>
                </c:dPt>
                <c:dPt>
                  <c:idx val="60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B5-873A-48A4-9C4D-8AB260CAD881}"/>
                    </c:ext>
                  </c:extLst>
                </c:dPt>
                <c:dPt>
                  <c:idx val="60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B7-873A-48A4-9C4D-8AB260CAD881}"/>
                    </c:ext>
                  </c:extLst>
                </c:dPt>
                <c:dPt>
                  <c:idx val="60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B9-873A-48A4-9C4D-8AB260CAD881}"/>
                    </c:ext>
                  </c:extLst>
                </c:dPt>
                <c:dPt>
                  <c:idx val="60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BB-873A-48A4-9C4D-8AB260CAD881}"/>
                    </c:ext>
                  </c:extLst>
                </c:dPt>
                <c:dPt>
                  <c:idx val="60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BD-873A-48A4-9C4D-8AB260CAD881}"/>
                    </c:ext>
                  </c:extLst>
                </c:dPt>
                <c:dPt>
                  <c:idx val="60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BF-873A-48A4-9C4D-8AB260CAD881}"/>
                    </c:ext>
                  </c:extLst>
                </c:dPt>
                <c:dPt>
                  <c:idx val="60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C1-873A-48A4-9C4D-8AB260CAD881}"/>
                    </c:ext>
                  </c:extLst>
                </c:dPt>
                <c:dPt>
                  <c:idx val="60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C3-873A-48A4-9C4D-8AB260CAD881}"/>
                    </c:ext>
                  </c:extLst>
                </c:dPt>
                <c:dPt>
                  <c:idx val="60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C5-873A-48A4-9C4D-8AB260CAD881}"/>
                    </c:ext>
                  </c:extLst>
                </c:dPt>
                <c:dPt>
                  <c:idx val="61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C7-873A-48A4-9C4D-8AB260CAD881}"/>
                    </c:ext>
                  </c:extLst>
                </c:dPt>
                <c:dPt>
                  <c:idx val="61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C9-873A-48A4-9C4D-8AB260CAD881}"/>
                    </c:ext>
                  </c:extLst>
                </c:dPt>
                <c:dPt>
                  <c:idx val="61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CB-873A-48A4-9C4D-8AB260CAD881}"/>
                    </c:ext>
                  </c:extLst>
                </c:dPt>
                <c:dPt>
                  <c:idx val="61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CD-873A-48A4-9C4D-8AB260CAD881}"/>
                    </c:ext>
                  </c:extLst>
                </c:dPt>
                <c:dPt>
                  <c:idx val="61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CF-873A-48A4-9C4D-8AB260CAD881}"/>
                    </c:ext>
                  </c:extLst>
                </c:dPt>
                <c:dPt>
                  <c:idx val="61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D1-873A-48A4-9C4D-8AB260CAD881}"/>
                    </c:ext>
                  </c:extLst>
                </c:dPt>
                <c:dPt>
                  <c:idx val="61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D3-873A-48A4-9C4D-8AB260CAD881}"/>
                    </c:ext>
                  </c:extLst>
                </c:dPt>
                <c:dPt>
                  <c:idx val="61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D5-873A-48A4-9C4D-8AB260CAD881}"/>
                    </c:ext>
                  </c:extLst>
                </c:dPt>
                <c:dPt>
                  <c:idx val="61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D7-873A-48A4-9C4D-8AB260CAD881}"/>
                    </c:ext>
                  </c:extLst>
                </c:dPt>
                <c:dPt>
                  <c:idx val="61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D9-873A-48A4-9C4D-8AB260CAD881}"/>
                    </c:ext>
                  </c:extLst>
                </c:dPt>
                <c:dPt>
                  <c:idx val="62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DB-873A-48A4-9C4D-8AB260CAD881}"/>
                    </c:ext>
                  </c:extLst>
                </c:dPt>
                <c:dPt>
                  <c:idx val="62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DD-873A-48A4-9C4D-8AB260CAD881}"/>
                    </c:ext>
                  </c:extLst>
                </c:dPt>
                <c:dPt>
                  <c:idx val="62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DF-873A-48A4-9C4D-8AB260CAD881}"/>
                    </c:ext>
                  </c:extLst>
                </c:dPt>
                <c:dPt>
                  <c:idx val="62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E1-873A-48A4-9C4D-8AB260CAD881}"/>
                    </c:ext>
                  </c:extLst>
                </c:dPt>
                <c:dPt>
                  <c:idx val="62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E3-873A-48A4-9C4D-8AB260CAD881}"/>
                    </c:ext>
                  </c:extLst>
                </c:dPt>
                <c:dPt>
                  <c:idx val="62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E5-873A-48A4-9C4D-8AB260CAD881}"/>
                    </c:ext>
                  </c:extLst>
                </c:dPt>
                <c:dPt>
                  <c:idx val="62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E7-873A-48A4-9C4D-8AB260CAD881}"/>
                    </c:ext>
                  </c:extLst>
                </c:dPt>
                <c:dPt>
                  <c:idx val="62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E9-873A-48A4-9C4D-8AB260CAD881}"/>
                    </c:ext>
                  </c:extLst>
                </c:dPt>
                <c:dPt>
                  <c:idx val="62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EB-873A-48A4-9C4D-8AB260CAD881}"/>
                    </c:ext>
                  </c:extLst>
                </c:dPt>
                <c:dPt>
                  <c:idx val="62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ED-873A-48A4-9C4D-8AB260CAD881}"/>
                    </c:ext>
                  </c:extLst>
                </c:dPt>
                <c:dPt>
                  <c:idx val="63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EF-873A-48A4-9C4D-8AB260CAD881}"/>
                    </c:ext>
                  </c:extLst>
                </c:dPt>
                <c:dPt>
                  <c:idx val="63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F1-873A-48A4-9C4D-8AB260CAD881}"/>
                    </c:ext>
                  </c:extLst>
                </c:dPt>
                <c:dPt>
                  <c:idx val="63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F3-873A-48A4-9C4D-8AB260CAD881}"/>
                    </c:ext>
                  </c:extLst>
                </c:dPt>
                <c:dPt>
                  <c:idx val="63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F5-873A-48A4-9C4D-8AB260CAD881}"/>
                    </c:ext>
                  </c:extLst>
                </c:dPt>
                <c:dPt>
                  <c:idx val="63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F7-873A-48A4-9C4D-8AB260CAD881}"/>
                    </c:ext>
                  </c:extLst>
                </c:dPt>
                <c:dPt>
                  <c:idx val="63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F9-873A-48A4-9C4D-8AB260CAD881}"/>
                    </c:ext>
                  </c:extLst>
                </c:dPt>
                <c:dPt>
                  <c:idx val="63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FB-873A-48A4-9C4D-8AB260CAD881}"/>
                    </c:ext>
                  </c:extLst>
                </c:dPt>
                <c:dPt>
                  <c:idx val="63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FD-873A-48A4-9C4D-8AB260CAD881}"/>
                    </c:ext>
                  </c:extLst>
                </c:dPt>
                <c:dPt>
                  <c:idx val="63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FF-873A-48A4-9C4D-8AB260CAD881}"/>
                    </c:ext>
                  </c:extLst>
                </c:dPt>
                <c:dPt>
                  <c:idx val="63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01-873A-48A4-9C4D-8AB260CAD881}"/>
                    </c:ext>
                  </c:extLst>
                </c:dPt>
                <c:dPt>
                  <c:idx val="64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03-873A-48A4-9C4D-8AB260CAD881}"/>
                    </c:ext>
                  </c:extLst>
                </c:dPt>
                <c:dPt>
                  <c:idx val="64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05-873A-48A4-9C4D-8AB260CAD881}"/>
                    </c:ext>
                  </c:extLst>
                </c:dPt>
                <c:dPt>
                  <c:idx val="64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07-873A-48A4-9C4D-8AB260CAD881}"/>
                    </c:ext>
                  </c:extLst>
                </c:dPt>
                <c:dPt>
                  <c:idx val="64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09-873A-48A4-9C4D-8AB260CAD881}"/>
                    </c:ext>
                  </c:extLst>
                </c:dPt>
                <c:dPt>
                  <c:idx val="64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0B-873A-48A4-9C4D-8AB260CAD881}"/>
                    </c:ext>
                  </c:extLst>
                </c:dPt>
                <c:dPt>
                  <c:idx val="64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0D-873A-48A4-9C4D-8AB260CAD881}"/>
                    </c:ext>
                  </c:extLst>
                </c:dPt>
                <c:dPt>
                  <c:idx val="64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0F-873A-48A4-9C4D-8AB260CAD881}"/>
                    </c:ext>
                  </c:extLst>
                </c:dPt>
                <c:dPt>
                  <c:idx val="64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11-873A-48A4-9C4D-8AB260CAD881}"/>
                    </c:ext>
                  </c:extLst>
                </c:dPt>
                <c:dPt>
                  <c:idx val="64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13-873A-48A4-9C4D-8AB260CAD881}"/>
                    </c:ext>
                  </c:extLst>
                </c:dPt>
                <c:dPt>
                  <c:idx val="64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15-873A-48A4-9C4D-8AB260CAD881}"/>
                    </c:ext>
                  </c:extLst>
                </c:dPt>
                <c:dPt>
                  <c:idx val="65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17-873A-48A4-9C4D-8AB260CAD881}"/>
                    </c:ext>
                  </c:extLst>
                </c:dPt>
                <c:dPt>
                  <c:idx val="65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19-873A-48A4-9C4D-8AB260CAD881}"/>
                    </c:ext>
                  </c:extLst>
                </c:dPt>
                <c:dPt>
                  <c:idx val="65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1B-873A-48A4-9C4D-8AB260CAD881}"/>
                    </c:ext>
                  </c:extLst>
                </c:dPt>
                <c:dPt>
                  <c:idx val="65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1D-873A-48A4-9C4D-8AB260CAD881}"/>
                    </c:ext>
                  </c:extLst>
                </c:dPt>
                <c:dPt>
                  <c:idx val="65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1F-873A-48A4-9C4D-8AB260CAD881}"/>
                    </c:ext>
                  </c:extLst>
                </c:dPt>
                <c:dPt>
                  <c:idx val="65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21-873A-48A4-9C4D-8AB260CAD881}"/>
                    </c:ext>
                  </c:extLst>
                </c:dPt>
                <c:dPt>
                  <c:idx val="65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23-873A-48A4-9C4D-8AB260CAD881}"/>
                    </c:ext>
                  </c:extLst>
                </c:dPt>
                <c:dPt>
                  <c:idx val="65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25-873A-48A4-9C4D-8AB260CAD881}"/>
                    </c:ext>
                  </c:extLst>
                </c:dPt>
                <c:dPt>
                  <c:idx val="65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27-873A-48A4-9C4D-8AB260CAD881}"/>
                    </c:ext>
                  </c:extLst>
                </c:dPt>
                <c:dPt>
                  <c:idx val="65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29-873A-48A4-9C4D-8AB260CAD881}"/>
                    </c:ext>
                  </c:extLst>
                </c:dPt>
                <c:dPt>
                  <c:idx val="66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2B-873A-48A4-9C4D-8AB260CAD881}"/>
                    </c:ext>
                  </c:extLst>
                </c:dPt>
                <c:dPt>
                  <c:idx val="66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2D-873A-48A4-9C4D-8AB260CAD881}"/>
                    </c:ext>
                  </c:extLst>
                </c:dPt>
                <c:dPt>
                  <c:idx val="66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2F-873A-48A4-9C4D-8AB260CAD881}"/>
                    </c:ext>
                  </c:extLst>
                </c:dPt>
                <c:dPt>
                  <c:idx val="66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31-873A-48A4-9C4D-8AB260CAD881}"/>
                    </c:ext>
                  </c:extLst>
                </c:dPt>
                <c:dPt>
                  <c:idx val="66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33-873A-48A4-9C4D-8AB260CAD881}"/>
                    </c:ext>
                  </c:extLst>
                </c:dPt>
                <c:dPt>
                  <c:idx val="66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35-873A-48A4-9C4D-8AB260CAD881}"/>
                    </c:ext>
                  </c:extLst>
                </c:dPt>
                <c:dPt>
                  <c:idx val="66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37-873A-48A4-9C4D-8AB260CAD881}"/>
                    </c:ext>
                  </c:extLst>
                </c:dPt>
                <c:dPt>
                  <c:idx val="66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39-873A-48A4-9C4D-8AB260CAD881}"/>
                    </c:ext>
                  </c:extLst>
                </c:dPt>
                <c:dPt>
                  <c:idx val="66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3B-873A-48A4-9C4D-8AB260CAD881}"/>
                    </c:ext>
                  </c:extLst>
                </c:dPt>
                <c:dPt>
                  <c:idx val="66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3D-873A-48A4-9C4D-8AB260CAD881}"/>
                    </c:ext>
                  </c:extLst>
                </c:dPt>
                <c:dPt>
                  <c:idx val="67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3F-873A-48A4-9C4D-8AB260CAD881}"/>
                    </c:ext>
                  </c:extLst>
                </c:dPt>
                <c:dPt>
                  <c:idx val="67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41-873A-48A4-9C4D-8AB260CAD881}"/>
                    </c:ext>
                  </c:extLst>
                </c:dPt>
                <c:dPt>
                  <c:idx val="67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43-873A-48A4-9C4D-8AB260CAD881}"/>
                    </c:ext>
                  </c:extLst>
                </c:dPt>
                <c:dPt>
                  <c:idx val="67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45-873A-48A4-9C4D-8AB260CAD881}"/>
                    </c:ext>
                  </c:extLst>
                </c:dPt>
                <c:dPt>
                  <c:idx val="67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47-873A-48A4-9C4D-8AB260CAD881}"/>
                    </c:ext>
                  </c:extLst>
                </c:dPt>
                <c:dPt>
                  <c:idx val="67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49-873A-48A4-9C4D-8AB260CAD881}"/>
                    </c:ext>
                  </c:extLst>
                </c:dPt>
                <c:dPt>
                  <c:idx val="67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4B-873A-48A4-9C4D-8AB260CAD881}"/>
                    </c:ext>
                  </c:extLst>
                </c:dPt>
                <c:dPt>
                  <c:idx val="67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4D-873A-48A4-9C4D-8AB260CAD881}"/>
                    </c:ext>
                  </c:extLst>
                </c:dPt>
                <c:dPt>
                  <c:idx val="67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4F-873A-48A4-9C4D-8AB260CAD881}"/>
                    </c:ext>
                  </c:extLst>
                </c:dPt>
                <c:dPt>
                  <c:idx val="67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51-873A-48A4-9C4D-8AB260CAD881}"/>
                    </c:ext>
                  </c:extLst>
                </c:dPt>
                <c:dPt>
                  <c:idx val="68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53-873A-48A4-9C4D-8AB260CAD881}"/>
                    </c:ext>
                  </c:extLst>
                </c:dPt>
                <c:dPt>
                  <c:idx val="68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55-873A-48A4-9C4D-8AB260CAD881}"/>
                    </c:ext>
                  </c:extLst>
                </c:dPt>
                <c:dPt>
                  <c:idx val="68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57-873A-48A4-9C4D-8AB260CAD881}"/>
                    </c:ext>
                  </c:extLst>
                </c:dPt>
                <c:dPt>
                  <c:idx val="68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59-873A-48A4-9C4D-8AB260CAD881}"/>
                    </c:ext>
                  </c:extLst>
                </c:dPt>
                <c:dPt>
                  <c:idx val="68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5B-873A-48A4-9C4D-8AB260CAD881}"/>
                    </c:ext>
                  </c:extLst>
                </c:dPt>
                <c:dPt>
                  <c:idx val="68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5D-873A-48A4-9C4D-8AB260CAD881}"/>
                    </c:ext>
                  </c:extLst>
                </c:dPt>
                <c:dPt>
                  <c:idx val="68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5F-873A-48A4-9C4D-8AB260CAD881}"/>
                    </c:ext>
                  </c:extLst>
                </c:dPt>
                <c:dPt>
                  <c:idx val="68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61-873A-48A4-9C4D-8AB260CAD881}"/>
                    </c:ext>
                  </c:extLst>
                </c:dPt>
                <c:dPt>
                  <c:idx val="68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63-873A-48A4-9C4D-8AB260CAD881}"/>
                    </c:ext>
                  </c:extLst>
                </c:dPt>
                <c:dPt>
                  <c:idx val="68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65-873A-48A4-9C4D-8AB260CAD881}"/>
                    </c:ext>
                  </c:extLst>
                </c:dPt>
                <c:dPt>
                  <c:idx val="69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67-873A-48A4-9C4D-8AB260CAD881}"/>
                    </c:ext>
                  </c:extLst>
                </c:dPt>
                <c:dPt>
                  <c:idx val="69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69-873A-48A4-9C4D-8AB260CAD881}"/>
                    </c:ext>
                  </c:extLst>
                </c:dPt>
                <c:dPt>
                  <c:idx val="69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6B-873A-48A4-9C4D-8AB260CAD881}"/>
                    </c:ext>
                  </c:extLst>
                </c:dPt>
                <c:dPt>
                  <c:idx val="69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6D-873A-48A4-9C4D-8AB260CAD881}"/>
                    </c:ext>
                  </c:extLst>
                </c:dPt>
                <c:dPt>
                  <c:idx val="69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6F-873A-48A4-9C4D-8AB260CAD881}"/>
                    </c:ext>
                  </c:extLst>
                </c:dPt>
                <c:dPt>
                  <c:idx val="69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71-873A-48A4-9C4D-8AB260CAD881}"/>
                    </c:ext>
                  </c:extLst>
                </c:dPt>
                <c:dPt>
                  <c:idx val="69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73-873A-48A4-9C4D-8AB260CAD881}"/>
                    </c:ext>
                  </c:extLst>
                </c:dPt>
                <c:dPt>
                  <c:idx val="69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75-873A-48A4-9C4D-8AB260CAD881}"/>
                    </c:ext>
                  </c:extLst>
                </c:dPt>
                <c:dPt>
                  <c:idx val="69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77-873A-48A4-9C4D-8AB260CAD881}"/>
                    </c:ext>
                  </c:extLst>
                </c:dPt>
                <c:dPt>
                  <c:idx val="69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79-873A-48A4-9C4D-8AB260CAD881}"/>
                    </c:ext>
                  </c:extLst>
                </c:dPt>
                <c:dPt>
                  <c:idx val="70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7B-873A-48A4-9C4D-8AB260CAD881}"/>
                    </c:ext>
                  </c:extLst>
                </c:dPt>
                <c:dPt>
                  <c:idx val="70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7D-873A-48A4-9C4D-8AB260CAD881}"/>
                    </c:ext>
                  </c:extLst>
                </c:dPt>
                <c:dPt>
                  <c:idx val="70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7F-873A-48A4-9C4D-8AB260CAD881}"/>
                    </c:ext>
                  </c:extLst>
                </c:dPt>
                <c:dPt>
                  <c:idx val="70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81-873A-48A4-9C4D-8AB260CAD881}"/>
                    </c:ext>
                  </c:extLst>
                </c:dPt>
                <c:dPt>
                  <c:idx val="70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83-873A-48A4-9C4D-8AB260CAD881}"/>
                    </c:ext>
                  </c:extLst>
                </c:dPt>
                <c:dPt>
                  <c:idx val="70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85-873A-48A4-9C4D-8AB260CAD881}"/>
                    </c:ext>
                  </c:extLst>
                </c:dPt>
                <c:dPt>
                  <c:idx val="70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87-873A-48A4-9C4D-8AB260CAD881}"/>
                    </c:ext>
                  </c:extLst>
                </c:dPt>
                <c:dPt>
                  <c:idx val="70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89-873A-48A4-9C4D-8AB260CAD881}"/>
                    </c:ext>
                  </c:extLst>
                </c:dPt>
                <c:dPt>
                  <c:idx val="70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8B-873A-48A4-9C4D-8AB260CAD881}"/>
                    </c:ext>
                  </c:extLst>
                </c:dPt>
                <c:dPt>
                  <c:idx val="70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8D-873A-48A4-9C4D-8AB260CAD881}"/>
                    </c:ext>
                  </c:extLst>
                </c:dPt>
                <c:dPt>
                  <c:idx val="71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8F-873A-48A4-9C4D-8AB260CAD881}"/>
                    </c:ext>
                  </c:extLst>
                </c:dPt>
                <c:dPt>
                  <c:idx val="71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91-873A-48A4-9C4D-8AB260CAD881}"/>
                    </c:ext>
                  </c:extLst>
                </c:dPt>
                <c:dPt>
                  <c:idx val="71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93-873A-48A4-9C4D-8AB260CAD881}"/>
                    </c:ext>
                  </c:extLst>
                </c:dPt>
                <c:dPt>
                  <c:idx val="71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95-873A-48A4-9C4D-8AB260CAD881}"/>
                    </c:ext>
                  </c:extLst>
                </c:dPt>
                <c:dPt>
                  <c:idx val="71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97-873A-48A4-9C4D-8AB260CAD881}"/>
                    </c:ext>
                  </c:extLst>
                </c:dPt>
                <c:dPt>
                  <c:idx val="71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99-873A-48A4-9C4D-8AB260CAD881}"/>
                    </c:ext>
                  </c:extLst>
                </c:dPt>
                <c:dPt>
                  <c:idx val="71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9B-873A-48A4-9C4D-8AB260CAD881}"/>
                    </c:ext>
                  </c:extLst>
                </c:dPt>
                <c:dPt>
                  <c:idx val="71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9D-873A-48A4-9C4D-8AB260CAD881}"/>
                    </c:ext>
                  </c:extLst>
                </c:dPt>
                <c:dPt>
                  <c:idx val="71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9F-873A-48A4-9C4D-8AB260CAD881}"/>
                    </c:ext>
                  </c:extLst>
                </c:dPt>
                <c:dPt>
                  <c:idx val="71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A1-873A-48A4-9C4D-8AB260CAD881}"/>
                    </c:ext>
                  </c:extLst>
                </c:dPt>
                <c:dPt>
                  <c:idx val="72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A3-873A-48A4-9C4D-8AB260CAD881}"/>
                    </c:ext>
                  </c:extLst>
                </c:dPt>
                <c:dPt>
                  <c:idx val="72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A5-873A-48A4-9C4D-8AB260CAD881}"/>
                    </c:ext>
                  </c:extLst>
                </c:dPt>
                <c:dPt>
                  <c:idx val="72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A7-873A-48A4-9C4D-8AB260CAD881}"/>
                    </c:ext>
                  </c:extLst>
                </c:dPt>
                <c:dPt>
                  <c:idx val="72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A9-873A-48A4-9C4D-8AB260CAD881}"/>
                    </c:ext>
                  </c:extLst>
                </c:dPt>
                <c:dPt>
                  <c:idx val="72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AB-873A-48A4-9C4D-8AB260CAD881}"/>
                    </c:ext>
                  </c:extLst>
                </c:dPt>
                <c:dPt>
                  <c:idx val="72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AD-873A-48A4-9C4D-8AB260CAD881}"/>
                    </c:ext>
                  </c:extLst>
                </c:dPt>
                <c:dPt>
                  <c:idx val="72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AF-873A-48A4-9C4D-8AB260CAD881}"/>
                    </c:ext>
                  </c:extLst>
                </c:dPt>
                <c:dPt>
                  <c:idx val="72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B1-873A-48A4-9C4D-8AB260CAD881}"/>
                    </c:ext>
                  </c:extLst>
                </c:dPt>
                <c:dPt>
                  <c:idx val="72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B3-873A-48A4-9C4D-8AB260CAD881}"/>
                    </c:ext>
                  </c:extLst>
                </c:dPt>
                <c:dPt>
                  <c:idx val="72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B5-873A-48A4-9C4D-8AB260CAD881}"/>
                    </c:ext>
                  </c:extLst>
                </c:dPt>
                <c:dPt>
                  <c:idx val="73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B7-873A-48A4-9C4D-8AB260CAD881}"/>
                    </c:ext>
                  </c:extLst>
                </c:dPt>
                <c:dPt>
                  <c:idx val="73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B9-873A-48A4-9C4D-8AB260CAD881}"/>
                    </c:ext>
                  </c:extLst>
                </c:dPt>
                <c:dPt>
                  <c:idx val="73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BB-873A-48A4-9C4D-8AB260CAD881}"/>
                    </c:ext>
                  </c:extLst>
                </c:dPt>
                <c:dPt>
                  <c:idx val="73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BD-873A-48A4-9C4D-8AB260CAD881}"/>
                    </c:ext>
                  </c:extLst>
                </c:dPt>
                <c:dPt>
                  <c:idx val="73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BF-873A-48A4-9C4D-8AB260CAD881}"/>
                    </c:ext>
                  </c:extLst>
                </c:dPt>
                <c:dPt>
                  <c:idx val="73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C1-873A-48A4-9C4D-8AB260CAD881}"/>
                    </c:ext>
                  </c:extLst>
                </c:dPt>
                <c:dPt>
                  <c:idx val="73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C3-873A-48A4-9C4D-8AB260CAD881}"/>
                    </c:ext>
                  </c:extLst>
                </c:dPt>
                <c:dPt>
                  <c:idx val="73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C5-873A-48A4-9C4D-8AB260CAD881}"/>
                    </c:ext>
                  </c:extLst>
                </c:dPt>
                <c:dPt>
                  <c:idx val="73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C7-873A-48A4-9C4D-8AB260CAD881}"/>
                    </c:ext>
                  </c:extLst>
                </c:dPt>
                <c:dPt>
                  <c:idx val="73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C9-873A-48A4-9C4D-8AB260CAD881}"/>
                    </c:ext>
                  </c:extLst>
                </c:dPt>
                <c:dPt>
                  <c:idx val="74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CB-873A-48A4-9C4D-8AB260CAD881}"/>
                    </c:ext>
                  </c:extLst>
                </c:dPt>
                <c:dPt>
                  <c:idx val="74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CD-873A-48A4-9C4D-8AB260CAD881}"/>
                    </c:ext>
                  </c:extLst>
                </c:dPt>
                <c:dPt>
                  <c:idx val="74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CF-873A-48A4-9C4D-8AB260CAD881}"/>
                    </c:ext>
                  </c:extLst>
                </c:dPt>
                <c:dPt>
                  <c:idx val="74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D1-873A-48A4-9C4D-8AB260CAD881}"/>
                    </c:ext>
                  </c:extLst>
                </c:dPt>
                <c:dPt>
                  <c:idx val="74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D3-873A-48A4-9C4D-8AB260CAD881}"/>
                    </c:ext>
                  </c:extLst>
                </c:dPt>
                <c:dPt>
                  <c:idx val="74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D5-873A-48A4-9C4D-8AB260CAD881}"/>
                    </c:ext>
                  </c:extLst>
                </c:dPt>
                <c:dPt>
                  <c:idx val="74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D7-873A-48A4-9C4D-8AB260CAD881}"/>
                    </c:ext>
                  </c:extLst>
                </c:dPt>
                <c:dPt>
                  <c:idx val="74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D9-873A-48A4-9C4D-8AB260CAD881}"/>
                    </c:ext>
                  </c:extLst>
                </c:dPt>
                <c:dPt>
                  <c:idx val="74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DB-873A-48A4-9C4D-8AB260CAD881}"/>
                    </c:ext>
                  </c:extLst>
                </c:dPt>
                <c:dPt>
                  <c:idx val="74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DD-873A-48A4-9C4D-8AB260CAD881}"/>
                    </c:ext>
                  </c:extLst>
                </c:dPt>
                <c:dPt>
                  <c:idx val="75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DF-873A-48A4-9C4D-8AB260CAD881}"/>
                    </c:ext>
                  </c:extLst>
                </c:dPt>
                <c:dPt>
                  <c:idx val="75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E1-873A-48A4-9C4D-8AB260CAD881}"/>
                    </c:ext>
                  </c:extLst>
                </c:dPt>
                <c:dPt>
                  <c:idx val="75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E3-873A-48A4-9C4D-8AB260CAD881}"/>
                    </c:ext>
                  </c:extLst>
                </c:dPt>
                <c:dPt>
                  <c:idx val="75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E5-873A-48A4-9C4D-8AB260CAD881}"/>
                    </c:ext>
                  </c:extLst>
                </c:dPt>
                <c:dPt>
                  <c:idx val="75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E7-873A-48A4-9C4D-8AB260CAD881}"/>
                    </c:ext>
                  </c:extLst>
                </c:dPt>
                <c:dPt>
                  <c:idx val="75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E9-873A-48A4-9C4D-8AB260CAD881}"/>
                    </c:ext>
                  </c:extLst>
                </c:dPt>
                <c:dPt>
                  <c:idx val="75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EB-873A-48A4-9C4D-8AB260CAD881}"/>
                    </c:ext>
                  </c:extLst>
                </c:dPt>
                <c:dPt>
                  <c:idx val="75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ED-873A-48A4-9C4D-8AB260CAD881}"/>
                    </c:ext>
                  </c:extLst>
                </c:dPt>
                <c:dPt>
                  <c:idx val="75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EF-873A-48A4-9C4D-8AB260CAD881}"/>
                    </c:ext>
                  </c:extLst>
                </c:dPt>
                <c:dPt>
                  <c:idx val="75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F1-873A-48A4-9C4D-8AB260CAD881}"/>
                    </c:ext>
                  </c:extLst>
                </c:dPt>
                <c:dPt>
                  <c:idx val="76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F3-873A-48A4-9C4D-8AB260CAD881}"/>
                    </c:ext>
                  </c:extLst>
                </c:dPt>
                <c:dPt>
                  <c:idx val="76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F5-873A-48A4-9C4D-8AB260CAD881}"/>
                    </c:ext>
                  </c:extLst>
                </c:dPt>
                <c:dPt>
                  <c:idx val="76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F7-873A-48A4-9C4D-8AB260CAD881}"/>
                    </c:ext>
                  </c:extLst>
                </c:dPt>
                <c:dPt>
                  <c:idx val="76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F9-873A-48A4-9C4D-8AB260CAD881}"/>
                    </c:ext>
                  </c:extLst>
                </c:dPt>
                <c:dPt>
                  <c:idx val="76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FB-873A-48A4-9C4D-8AB260CAD881}"/>
                    </c:ext>
                  </c:extLst>
                </c:dPt>
                <c:dPt>
                  <c:idx val="76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FD-873A-48A4-9C4D-8AB260CAD881}"/>
                    </c:ext>
                  </c:extLst>
                </c:dPt>
                <c:dPt>
                  <c:idx val="76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FF-873A-48A4-9C4D-8AB260CAD881}"/>
                    </c:ext>
                  </c:extLst>
                </c:dPt>
                <c:dPt>
                  <c:idx val="76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01-873A-48A4-9C4D-8AB260CAD881}"/>
                    </c:ext>
                  </c:extLst>
                </c:dPt>
                <c:dPt>
                  <c:idx val="76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03-873A-48A4-9C4D-8AB260CAD881}"/>
                    </c:ext>
                  </c:extLst>
                </c:dPt>
                <c:dPt>
                  <c:idx val="76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05-873A-48A4-9C4D-8AB260CAD881}"/>
                    </c:ext>
                  </c:extLst>
                </c:dPt>
                <c:dPt>
                  <c:idx val="77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07-873A-48A4-9C4D-8AB260CAD881}"/>
                    </c:ext>
                  </c:extLst>
                </c:dPt>
                <c:dPt>
                  <c:idx val="77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09-873A-48A4-9C4D-8AB260CAD881}"/>
                    </c:ext>
                  </c:extLst>
                </c:dPt>
                <c:dPt>
                  <c:idx val="77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0B-873A-48A4-9C4D-8AB260CAD881}"/>
                    </c:ext>
                  </c:extLst>
                </c:dPt>
                <c:dPt>
                  <c:idx val="77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0D-873A-48A4-9C4D-8AB260CAD881}"/>
                    </c:ext>
                  </c:extLst>
                </c:dPt>
                <c:dPt>
                  <c:idx val="77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0F-873A-48A4-9C4D-8AB260CAD881}"/>
                    </c:ext>
                  </c:extLst>
                </c:dPt>
                <c:dPt>
                  <c:idx val="77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11-873A-48A4-9C4D-8AB260CAD881}"/>
                    </c:ext>
                  </c:extLst>
                </c:dPt>
                <c:dPt>
                  <c:idx val="77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13-873A-48A4-9C4D-8AB260CAD881}"/>
                    </c:ext>
                  </c:extLst>
                </c:dPt>
                <c:dPt>
                  <c:idx val="77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15-873A-48A4-9C4D-8AB260CAD881}"/>
                    </c:ext>
                  </c:extLst>
                </c:dPt>
                <c:dPt>
                  <c:idx val="77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17-873A-48A4-9C4D-8AB260CAD881}"/>
                    </c:ext>
                  </c:extLst>
                </c:dPt>
                <c:dPt>
                  <c:idx val="77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19-873A-48A4-9C4D-8AB260CAD881}"/>
                    </c:ext>
                  </c:extLst>
                </c:dPt>
                <c:dPt>
                  <c:idx val="78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1B-873A-48A4-9C4D-8AB260CAD881}"/>
                    </c:ext>
                  </c:extLst>
                </c:dPt>
                <c:dPt>
                  <c:idx val="78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1D-873A-48A4-9C4D-8AB260CAD881}"/>
                    </c:ext>
                  </c:extLst>
                </c:dPt>
                <c:dPt>
                  <c:idx val="78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1F-873A-48A4-9C4D-8AB260CAD881}"/>
                    </c:ext>
                  </c:extLst>
                </c:dPt>
                <c:dPt>
                  <c:idx val="78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21-873A-48A4-9C4D-8AB260CAD881}"/>
                    </c:ext>
                  </c:extLst>
                </c:dPt>
                <c:dPt>
                  <c:idx val="78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23-873A-48A4-9C4D-8AB260CAD881}"/>
                    </c:ext>
                  </c:extLst>
                </c:dPt>
                <c:dPt>
                  <c:idx val="78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25-873A-48A4-9C4D-8AB260CAD881}"/>
                    </c:ext>
                  </c:extLst>
                </c:dPt>
                <c:dPt>
                  <c:idx val="78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27-873A-48A4-9C4D-8AB260CAD881}"/>
                    </c:ext>
                  </c:extLst>
                </c:dPt>
                <c:dPt>
                  <c:idx val="78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29-873A-48A4-9C4D-8AB260CAD881}"/>
                    </c:ext>
                  </c:extLst>
                </c:dPt>
                <c:dPt>
                  <c:idx val="78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2B-873A-48A4-9C4D-8AB260CAD881}"/>
                    </c:ext>
                  </c:extLst>
                </c:dPt>
                <c:dPt>
                  <c:idx val="78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2D-873A-48A4-9C4D-8AB260CAD881}"/>
                    </c:ext>
                  </c:extLst>
                </c:dPt>
                <c:dPt>
                  <c:idx val="79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2F-873A-48A4-9C4D-8AB260CAD881}"/>
                    </c:ext>
                  </c:extLst>
                </c:dPt>
                <c:dPt>
                  <c:idx val="79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31-873A-48A4-9C4D-8AB260CAD881}"/>
                    </c:ext>
                  </c:extLst>
                </c:dPt>
                <c:dPt>
                  <c:idx val="79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33-873A-48A4-9C4D-8AB260CAD881}"/>
                    </c:ext>
                  </c:extLst>
                </c:dPt>
                <c:dPt>
                  <c:idx val="79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35-873A-48A4-9C4D-8AB260CAD881}"/>
                    </c:ext>
                  </c:extLst>
                </c:dPt>
                <c:dPt>
                  <c:idx val="79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37-873A-48A4-9C4D-8AB260CAD881}"/>
                    </c:ext>
                  </c:extLst>
                </c:dPt>
                <c:dPt>
                  <c:idx val="79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39-873A-48A4-9C4D-8AB260CAD881}"/>
                    </c:ext>
                  </c:extLst>
                </c:dPt>
                <c:dPt>
                  <c:idx val="79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3B-873A-48A4-9C4D-8AB260CAD881}"/>
                    </c:ext>
                  </c:extLst>
                </c:dPt>
                <c:dPt>
                  <c:idx val="79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3D-873A-48A4-9C4D-8AB260CAD881}"/>
                    </c:ext>
                  </c:extLst>
                </c:dPt>
                <c:dPt>
                  <c:idx val="79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3F-873A-48A4-9C4D-8AB260CAD881}"/>
                    </c:ext>
                  </c:extLst>
                </c:dPt>
                <c:dPt>
                  <c:idx val="79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41-873A-48A4-9C4D-8AB260CAD881}"/>
                    </c:ext>
                  </c:extLst>
                </c:dPt>
                <c:dPt>
                  <c:idx val="80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43-873A-48A4-9C4D-8AB260CAD881}"/>
                    </c:ext>
                  </c:extLst>
                </c:dPt>
                <c:dPt>
                  <c:idx val="80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45-873A-48A4-9C4D-8AB260CAD881}"/>
                    </c:ext>
                  </c:extLst>
                </c:dPt>
                <c:dPt>
                  <c:idx val="80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47-873A-48A4-9C4D-8AB260CAD881}"/>
                    </c:ext>
                  </c:extLst>
                </c:dPt>
                <c:dPt>
                  <c:idx val="80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49-873A-48A4-9C4D-8AB260CAD881}"/>
                    </c:ext>
                  </c:extLst>
                </c:dPt>
                <c:dPt>
                  <c:idx val="80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4B-873A-48A4-9C4D-8AB260CAD881}"/>
                    </c:ext>
                  </c:extLst>
                </c:dPt>
                <c:dPt>
                  <c:idx val="80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4D-873A-48A4-9C4D-8AB260CAD881}"/>
                    </c:ext>
                  </c:extLst>
                </c:dPt>
                <c:dPt>
                  <c:idx val="80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4F-873A-48A4-9C4D-8AB260CAD881}"/>
                    </c:ext>
                  </c:extLst>
                </c:dPt>
                <c:dPt>
                  <c:idx val="80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51-873A-48A4-9C4D-8AB260CAD881}"/>
                    </c:ext>
                  </c:extLst>
                </c:dPt>
                <c:dPt>
                  <c:idx val="80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53-873A-48A4-9C4D-8AB260CAD881}"/>
                    </c:ext>
                  </c:extLst>
                </c:dPt>
                <c:dPt>
                  <c:idx val="80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55-873A-48A4-9C4D-8AB260CAD881}"/>
                    </c:ext>
                  </c:extLst>
                </c:dPt>
                <c:dPt>
                  <c:idx val="81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57-873A-48A4-9C4D-8AB260CAD881}"/>
                    </c:ext>
                  </c:extLst>
                </c:dPt>
                <c:dPt>
                  <c:idx val="81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59-873A-48A4-9C4D-8AB260CAD881}"/>
                    </c:ext>
                  </c:extLst>
                </c:dPt>
                <c:dPt>
                  <c:idx val="81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5B-873A-48A4-9C4D-8AB260CAD881}"/>
                    </c:ext>
                  </c:extLst>
                </c:dPt>
                <c:dPt>
                  <c:idx val="81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5D-873A-48A4-9C4D-8AB260CAD881}"/>
                    </c:ext>
                  </c:extLst>
                </c:dPt>
                <c:dPt>
                  <c:idx val="81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5F-873A-48A4-9C4D-8AB260CAD881}"/>
                    </c:ext>
                  </c:extLst>
                </c:dPt>
                <c:dPt>
                  <c:idx val="81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61-873A-48A4-9C4D-8AB260CAD881}"/>
                    </c:ext>
                  </c:extLst>
                </c:dPt>
                <c:dPt>
                  <c:idx val="81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63-873A-48A4-9C4D-8AB260CAD881}"/>
                    </c:ext>
                  </c:extLst>
                </c:dPt>
                <c:dPt>
                  <c:idx val="81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65-873A-48A4-9C4D-8AB260CAD881}"/>
                    </c:ext>
                  </c:extLst>
                </c:dPt>
                <c:dPt>
                  <c:idx val="81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67-873A-48A4-9C4D-8AB260CAD881}"/>
                    </c:ext>
                  </c:extLst>
                </c:dPt>
                <c:dPt>
                  <c:idx val="81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69-873A-48A4-9C4D-8AB260CAD881}"/>
                    </c:ext>
                  </c:extLst>
                </c:dPt>
                <c:dPt>
                  <c:idx val="82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6B-873A-48A4-9C4D-8AB260CAD881}"/>
                    </c:ext>
                  </c:extLst>
                </c:dPt>
                <c:dPt>
                  <c:idx val="82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6D-873A-48A4-9C4D-8AB260CAD881}"/>
                    </c:ext>
                  </c:extLst>
                </c:dPt>
                <c:dPt>
                  <c:idx val="82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6F-873A-48A4-9C4D-8AB260CAD881}"/>
                    </c:ext>
                  </c:extLst>
                </c:dPt>
                <c:dPt>
                  <c:idx val="82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71-873A-48A4-9C4D-8AB260CAD881}"/>
                    </c:ext>
                  </c:extLst>
                </c:dPt>
                <c:dPt>
                  <c:idx val="82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73-873A-48A4-9C4D-8AB260CAD881}"/>
                    </c:ext>
                  </c:extLst>
                </c:dPt>
                <c:dPt>
                  <c:idx val="82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75-873A-48A4-9C4D-8AB260CAD881}"/>
                    </c:ext>
                  </c:extLst>
                </c:dPt>
                <c:dPt>
                  <c:idx val="82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77-873A-48A4-9C4D-8AB260CAD881}"/>
                    </c:ext>
                  </c:extLst>
                </c:dPt>
                <c:dPt>
                  <c:idx val="82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79-873A-48A4-9C4D-8AB260CAD881}"/>
                    </c:ext>
                  </c:extLst>
                </c:dPt>
                <c:dPt>
                  <c:idx val="82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7B-873A-48A4-9C4D-8AB260CAD881}"/>
                    </c:ext>
                  </c:extLst>
                </c:dPt>
                <c:dPt>
                  <c:idx val="82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7D-873A-48A4-9C4D-8AB260CAD881}"/>
                    </c:ext>
                  </c:extLst>
                </c:dPt>
                <c:dPt>
                  <c:idx val="83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7F-873A-48A4-9C4D-8AB260CAD881}"/>
                    </c:ext>
                  </c:extLst>
                </c:dPt>
                <c:dPt>
                  <c:idx val="83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81-873A-48A4-9C4D-8AB260CAD881}"/>
                    </c:ext>
                  </c:extLst>
                </c:dPt>
                <c:dPt>
                  <c:idx val="83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83-873A-48A4-9C4D-8AB260CAD881}"/>
                    </c:ext>
                  </c:extLst>
                </c:dPt>
                <c:dPt>
                  <c:idx val="83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85-873A-48A4-9C4D-8AB260CAD881}"/>
                    </c:ext>
                  </c:extLst>
                </c:dPt>
                <c:dPt>
                  <c:idx val="83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87-873A-48A4-9C4D-8AB260CAD881}"/>
                    </c:ext>
                  </c:extLst>
                </c:dPt>
                <c:dPt>
                  <c:idx val="83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89-873A-48A4-9C4D-8AB260CAD881}"/>
                    </c:ext>
                  </c:extLst>
                </c:dPt>
                <c:dPt>
                  <c:idx val="83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8B-873A-48A4-9C4D-8AB260CAD881}"/>
                    </c:ext>
                  </c:extLst>
                </c:dPt>
                <c:dPt>
                  <c:idx val="83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8D-873A-48A4-9C4D-8AB260CAD881}"/>
                    </c:ext>
                  </c:extLst>
                </c:dPt>
                <c:dPt>
                  <c:idx val="83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8F-873A-48A4-9C4D-8AB260CAD881}"/>
                    </c:ext>
                  </c:extLst>
                </c:dPt>
                <c:dPt>
                  <c:idx val="83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91-873A-48A4-9C4D-8AB260CAD881}"/>
                    </c:ext>
                  </c:extLst>
                </c:dPt>
                <c:dPt>
                  <c:idx val="84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93-873A-48A4-9C4D-8AB260CAD881}"/>
                    </c:ext>
                  </c:extLst>
                </c:dPt>
                <c:dPt>
                  <c:idx val="84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95-873A-48A4-9C4D-8AB260CAD881}"/>
                    </c:ext>
                  </c:extLst>
                </c:dPt>
                <c:dPt>
                  <c:idx val="84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97-873A-48A4-9C4D-8AB260CAD881}"/>
                    </c:ext>
                  </c:extLst>
                </c:dPt>
                <c:dPt>
                  <c:idx val="84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99-873A-48A4-9C4D-8AB260CAD881}"/>
                    </c:ext>
                  </c:extLst>
                </c:dPt>
                <c:dPt>
                  <c:idx val="84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9B-873A-48A4-9C4D-8AB260CAD881}"/>
                    </c:ext>
                  </c:extLst>
                </c:dPt>
                <c:dPt>
                  <c:idx val="84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9D-873A-48A4-9C4D-8AB260CAD881}"/>
                    </c:ext>
                  </c:extLst>
                </c:dPt>
                <c:dPt>
                  <c:idx val="84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9F-873A-48A4-9C4D-8AB260CAD881}"/>
                    </c:ext>
                  </c:extLst>
                </c:dPt>
                <c:dPt>
                  <c:idx val="84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A1-873A-48A4-9C4D-8AB260CAD881}"/>
                    </c:ext>
                  </c:extLst>
                </c:dPt>
                <c:dPt>
                  <c:idx val="84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A3-873A-48A4-9C4D-8AB260CAD881}"/>
                    </c:ext>
                  </c:extLst>
                </c:dPt>
                <c:dPt>
                  <c:idx val="84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A5-873A-48A4-9C4D-8AB260CAD881}"/>
                    </c:ext>
                  </c:extLst>
                </c:dPt>
                <c:dPt>
                  <c:idx val="85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A7-873A-48A4-9C4D-8AB260CAD881}"/>
                    </c:ext>
                  </c:extLst>
                </c:dPt>
                <c:dPt>
                  <c:idx val="85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A9-873A-48A4-9C4D-8AB260CAD881}"/>
                    </c:ext>
                  </c:extLst>
                </c:dPt>
                <c:dPt>
                  <c:idx val="85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AB-873A-48A4-9C4D-8AB260CAD881}"/>
                    </c:ext>
                  </c:extLst>
                </c:dPt>
                <c:dPt>
                  <c:idx val="85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AD-873A-48A4-9C4D-8AB260CAD881}"/>
                    </c:ext>
                  </c:extLst>
                </c:dPt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 cap="flat" cmpd="sng" algn="ctr">
                        <a:solidFill>
                          <a:schemeClr val="tx1">
                            <a:lumMod val="35000"/>
                            <a:lumOff val="65000"/>
                          </a:schemeClr>
                        </a:solidFill>
                        <a:round/>
                      </a:ln>
                      <a:effectLst/>
                    </c:spPr>
                  </c:leaderLines>
                  <c:extLst>
                    <c:ext uri="{CE6537A1-D6FC-4f65-9D91-7224C49458BB}"/>
                  </c:extLst>
                </c:dLbls>
                <c:cat>
                  <c:strRef>
                    <c:extLst>
                      <c:ext uri="{02D57815-91ED-43cb-92C2-25804820EDAC}">
                        <c15:formulaRef>
                          <c15:sqref>('Données '!$C$199,'Données '!$E$199,'Données '!$G$199,'Données '!$I$199,'Données '!$K$199,'Données '!$M$199,'Données '!$O$199)</c15:sqref>
                        </c15:formulaRef>
                      </c:ext>
                    </c:extLst>
                    <c:strCache>
                      <c:ptCount val="7"/>
                      <c:pt idx="0">
                        <c:v>ESQ ==&gt; APD</c:v>
                      </c:pt>
                      <c:pt idx="1">
                        <c:v>Fin études/AO</c:v>
                      </c:pt>
                      <c:pt idx="2">
                        <c:v>OS</c:v>
                      </c:pt>
                      <c:pt idx="3">
                        <c:v>Travaux</c:v>
                      </c:pt>
                      <c:pt idx="4">
                        <c:v>GPA</c:v>
                      </c:pt>
                      <c:pt idx="5">
                        <c:v>Clôture défisc</c:v>
                      </c:pt>
                      <c:pt idx="6">
                        <c:v>STOP</c:v>
                      </c:pt>
                    </c:strCache>
                  </c:strRef>
                </c:cat>
                <c:val>
                  <c:numRef>
                    <c:extLst>
                      <c:ext uri="{02D57815-91ED-43cb-92C2-25804820EDAC}">
                        <c15:formulaRef>
                          <c15:sqref>('Données '!$C$200,'Données '!$E$200,'Données '!$G$200,'Données '!$I$200,'Données '!$K$200,'Données '!$M$200,'Données '!$O$200)</c15:sqref>
                        </c15:formulaRef>
                      </c:ext>
                    </c:extLst>
                    <c:numCache>
                      <c:formatCode>General</c:formatCode>
                      <c:ptCount val="7"/>
                      <c:pt idx="0">
                        <c:v>2</c:v>
                      </c:pt>
                      <c:pt idx="1">
                        <c:v>3</c:v>
                      </c:pt>
                      <c:pt idx="2">
                        <c:v>0</c:v>
                      </c:pt>
                      <c:pt idx="3">
                        <c:v>2</c:v>
                      </c:pt>
                      <c:pt idx="4">
                        <c:v>2</c:v>
                      </c:pt>
                      <c:pt idx="5">
                        <c:v>0</c:v>
                      </c:pt>
                      <c:pt idx="6">
                        <c:v>0</c:v>
                      </c:pt>
                    </c:numCache>
                  </c:numRef>
                </c:val>
                <c:extLst>
                  <c:ext xmlns:c16="http://schemas.microsoft.com/office/drawing/2014/chart" uri="{C3380CC4-5D6E-409C-BE32-E72D297353CC}">
                    <c16:uniqueId val="{00000285-9D65-47E6-A29B-84F0AE2A7889}"/>
                  </c:ext>
                </c:extLst>
              </c15:ser>
            </c15:filteredPieSeries>
            <c15:filteredPieSeries>
              <c15:ser>
                <c:idx val="1"/>
                <c:order val="1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'Données '!$B$201</c15:sqref>
                        </c15:formulaRef>
                      </c:ext>
                    </c:extLst>
                    <c:strCache>
                      <c:ptCount val="1"/>
                      <c:pt idx="0">
                        <c:v>DBA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69-BB14-480A-9256-E28CC6689494}"/>
                    </c:ext>
                  </c:extLst>
                </c:dPt>
                <c:dPt>
                  <c:idx val="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A9-5E67-4978-B68F-16B7A4D41EB8}"/>
                    </c:ext>
                  </c:extLst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73-80C1-492E-81C6-B4697D88B596}"/>
                    </c:ext>
                  </c:extLst>
                </c:dPt>
                <c:dPt>
                  <c:idx val="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37-2172-432C-A4E6-1BD7D8978030}"/>
                    </c:ext>
                  </c:extLst>
                </c:dPt>
                <c:dPt>
                  <c:idx val="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77-80C1-492E-81C6-B4697D88B596}"/>
                    </c:ext>
                  </c:extLst>
                </c:dPt>
                <c:dPt>
                  <c:idx val="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FB-86C2-40A7-9130-0F1C4BFDF6C5}"/>
                    </c:ext>
                  </c:extLst>
                </c:dPt>
                <c:dPt>
                  <c:idx val="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7B-80C1-492E-81C6-B4697D88B596}"/>
                    </c:ext>
                  </c:extLst>
                </c:dPt>
                <c:dPt>
                  <c:idx val="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3B-2172-432C-A4E6-1BD7D8978030}"/>
                    </c:ext>
                  </c:extLst>
                </c:dPt>
                <c:dPt>
                  <c:idx val="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7F-80C1-492E-81C6-B4697D88B596}"/>
                    </c:ext>
                  </c:extLst>
                </c:dPt>
                <c:dPt>
                  <c:idx val="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77-2DCC-4328-AB1A-F3FFFF846A65}"/>
                    </c:ext>
                  </c:extLst>
                </c:dPt>
                <c:dPt>
                  <c:idx val="1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83-80C1-492E-81C6-B4697D88B596}"/>
                    </c:ext>
                  </c:extLst>
                </c:dPt>
                <c:dPt>
                  <c:idx val="1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3F-2172-432C-A4E6-1BD7D8978030}"/>
                    </c:ext>
                  </c:extLst>
                </c:dPt>
                <c:dPt>
                  <c:idx val="1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FF-86C2-40A7-9130-0F1C4BFDF6C5}"/>
                    </c:ext>
                  </c:extLst>
                </c:dPt>
                <c:dPt>
                  <c:idx val="1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43-2172-432C-A4E6-1BD7D8978030}"/>
                    </c:ext>
                  </c:extLst>
                </c:dPt>
                <c:dPt>
                  <c:idx val="1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AB-5E67-4978-B68F-16B7A4D41EB8}"/>
                    </c:ext>
                  </c:extLst>
                </c:dPt>
                <c:dPt>
                  <c:idx val="1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47-2172-432C-A4E6-1BD7D8978030}"/>
                    </c:ext>
                  </c:extLst>
                </c:dPt>
                <c:dPt>
                  <c:idx val="1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03-86C2-40A7-9130-0F1C4BFDF6C5}"/>
                    </c:ext>
                  </c:extLst>
                </c:dPt>
                <c:dPt>
                  <c:idx val="1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7B-2DCC-4328-AB1A-F3FFFF846A65}"/>
                    </c:ext>
                  </c:extLst>
                </c:dPt>
                <c:dPt>
                  <c:idx val="1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07-86C2-40A7-9130-0F1C4BFDF6C5}"/>
                    </c:ext>
                  </c:extLst>
                </c:dPt>
                <c:dPt>
                  <c:idx val="1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C5-851D-418A-BD70-216700392D59}"/>
                    </c:ext>
                  </c:extLst>
                </c:dPt>
                <c:dPt>
                  <c:idx val="2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0B-86C2-40A7-9130-0F1C4BFDF6C5}"/>
                    </c:ext>
                  </c:extLst>
                </c:dPt>
                <c:dPt>
                  <c:idx val="2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AD-7F02-4576-9F92-296890FB9370}"/>
                    </c:ext>
                  </c:extLst>
                </c:dPt>
                <c:dPt>
                  <c:idx val="2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C9-851D-418A-BD70-216700392D59}"/>
                    </c:ext>
                  </c:extLst>
                </c:dPt>
                <c:dPt>
                  <c:idx val="2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95-1077-47D8-A292-E7BC267252AD}"/>
                    </c:ext>
                  </c:extLst>
                </c:dPt>
                <c:dPt>
                  <c:idx val="2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B1-7F02-4576-9F92-296890FB9370}"/>
                    </c:ext>
                  </c:extLst>
                </c:dPt>
                <c:dPt>
                  <c:idx val="2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DD-71B5-45C2-93C5-38A82E2287F0}"/>
                    </c:ext>
                  </c:extLst>
                </c:dPt>
                <c:dPt>
                  <c:idx val="2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99-1077-47D8-A292-E7BC267252AD}"/>
                    </c:ext>
                  </c:extLst>
                </c:dPt>
                <c:dPt>
                  <c:idx val="2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7F-2DCC-4328-AB1A-F3FFFF846A65}"/>
                    </c:ext>
                  </c:extLst>
                </c:dPt>
                <c:dPt>
                  <c:idx val="2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AD-5E67-4978-B68F-16B7A4D41EB8}"/>
                    </c:ext>
                  </c:extLst>
                </c:dPt>
                <c:dPt>
                  <c:idx val="2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83-2DCC-4328-AB1A-F3FFFF846A65}"/>
                    </c:ext>
                  </c:extLst>
                </c:dPt>
                <c:dPt>
                  <c:idx val="3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41-8B27-4822-9AB8-CBD693E398B3}"/>
                    </c:ext>
                  </c:extLst>
                </c:dPt>
                <c:dPt>
                  <c:idx val="3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87-2DCC-4328-AB1A-F3FFFF846A65}"/>
                    </c:ext>
                  </c:extLst>
                </c:dPt>
                <c:dPt>
                  <c:idx val="3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29-3037-4232-8F3A-6B51DEFC6D36}"/>
                    </c:ext>
                  </c:extLst>
                </c:dPt>
                <c:dPt>
                  <c:idx val="3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45-8B27-4822-9AB8-CBD693E398B3}"/>
                    </c:ext>
                  </c:extLst>
                </c:dPt>
                <c:dPt>
                  <c:idx val="3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11-C349-4656-8A28-AADBB205242E}"/>
                    </c:ext>
                  </c:extLst>
                </c:dPt>
                <c:dPt>
                  <c:idx val="3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2D-3037-4232-8F3A-6B51DEFC6D36}"/>
                    </c:ext>
                  </c:extLst>
                </c:dPt>
                <c:dPt>
                  <c:idx val="3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F9-1969-424D-B9DB-D4AA8A653AEA}"/>
                    </c:ext>
                  </c:extLst>
                </c:dPt>
                <c:dPt>
                  <c:idx val="3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15-C349-4656-8A28-AADBB205242E}"/>
                    </c:ext>
                  </c:extLst>
                </c:dPt>
                <c:dPt>
                  <c:idx val="3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E1-71B5-45C2-93C5-38A82E2287F0}"/>
                    </c:ext>
                  </c:extLst>
                </c:dPt>
                <c:dPt>
                  <c:idx val="3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FD-1969-424D-B9DB-D4AA8A653AEA}"/>
                    </c:ext>
                  </c:extLst>
                </c:dPt>
                <c:dPt>
                  <c:idx val="4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AF-5E67-4978-B68F-16B7A4D41EB8}"/>
                    </c:ext>
                  </c:extLst>
                </c:dPt>
                <c:dPt>
                  <c:idx val="4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E5-71B5-45C2-93C5-38A82E2287F0}"/>
                    </c:ext>
                  </c:extLst>
                </c:dPt>
                <c:dPt>
                  <c:idx val="4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B1-5E67-4978-B68F-16B7A4D41EB8}"/>
                    </c:ext>
                  </c:extLst>
                </c:dPt>
                <c:dPt>
                  <c:idx val="4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E9-71B5-45C2-93C5-38A82E2287F0}"/>
                    </c:ext>
                  </c:extLst>
                </c:dPt>
                <c:dPt>
                  <c:idx val="4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67-B230-4B26-846E-D56405EFE187}"/>
                    </c:ext>
                  </c:extLst>
                </c:dPt>
                <c:dPt>
                  <c:idx val="4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6F-A7A9-4C9D-B771-16E74E8E82FB}"/>
                    </c:ext>
                  </c:extLst>
                </c:dPt>
                <c:dPt>
                  <c:idx val="4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63-D92A-42DD-8311-EEA00F60D44D}"/>
                    </c:ext>
                  </c:extLst>
                </c:dPt>
                <c:dPt>
                  <c:idx val="4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6B-B230-4B26-846E-D56405EFE187}"/>
                    </c:ext>
                  </c:extLst>
                </c:dPt>
                <c:dPt>
                  <c:idx val="4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4F-9824-4A9C-B43B-F4AB0317ECFF}"/>
                    </c:ext>
                  </c:extLst>
                </c:dPt>
                <c:dPt>
                  <c:idx val="4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67-D92A-42DD-8311-EEA00F60D44D}"/>
                    </c:ext>
                  </c:extLst>
                </c:dPt>
                <c:dPt>
                  <c:idx val="5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5B-92C0-48E2-B0DC-EF08AB5D95FA}"/>
                    </c:ext>
                  </c:extLst>
                </c:dPt>
                <c:dPt>
                  <c:idx val="5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6B-D92A-42DD-8311-EEA00F60D44D}"/>
                    </c:ext>
                  </c:extLst>
                </c:dPt>
                <c:dPt>
                  <c:idx val="5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47-39F0-4DCC-9F9F-8121D53561F9}"/>
                    </c:ext>
                  </c:extLst>
                </c:dPt>
                <c:dPt>
                  <c:idx val="5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5F-92C0-48E2-B0DC-EF08AB5D95FA}"/>
                    </c:ext>
                  </c:extLst>
                </c:dPt>
                <c:dPt>
                  <c:idx val="5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53-9824-4A9C-B43B-F4AB0317ECFF}"/>
                    </c:ext>
                  </c:extLst>
                </c:dPt>
                <c:dPt>
                  <c:idx val="5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63-92C0-48E2-B0DC-EF08AB5D95FA}"/>
                    </c:ext>
                  </c:extLst>
                </c:dPt>
                <c:dPt>
                  <c:idx val="5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3F-962E-4D9C-B99B-812FB2AC153D}"/>
                    </c:ext>
                  </c:extLst>
                </c:dPt>
                <c:dPt>
                  <c:idx val="5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57-9824-4A9C-B43B-F4AB0317ECFF}"/>
                    </c:ext>
                  </c:extLst>
                </c:dPt>
                <c:dPt>
                  <c:idx val="5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4B-39F0-4DCC-9F9F-8121D53561F9}"/>
                    </c:ext>
                  </c:extLst>
                </c:dPt>
                <c:dPt>
                  <c:idx val="5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5B-9824-4A9C-B43B-F4AB0317ECFF}"/>
                    </c:ext>
                  </c:extLst>
                </c:dPt>
                <c:dPt>
                  <c:idx val="6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37-A4B5-422E-8042-377C30AD8ADC}"/>
                    </c:ext>
                  </c:extLst>
                </c:dPt>
                <c:dPt>
                  <c:idx val="6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4F-39F0-4DCC-9F9F-8121D53561F9}"/>
                    </c:ext>
                  </c:extLst>
                </c:dPt>
                <c:dPt>
                  <c:idx val="6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43-962E-4D9C-B99B-812FB2AC153D}"/>
                    </c:ext>
                  </c:extLst>
                </c:dPt>
                <c:dPt>
                  <c:idx val="6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53-39F0-4DCC-9F9F-8121D53561F9}"/>
                    </c:ext>
                  </c:extLst>
                </c:dPt>
                <c:dPt>
                  <c:idx val="6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23-CCE6-4BC6-948D-BF6183A19448}"/>
                    </c:ext>
                  </c:extLst>
                </c:dPt>
                <c:dPt>
                  <c:idx val="6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47-962E-4D9C-B99B-812FB2AC153D}"/>
                    </c:ext>
                  </c:extLst>
                </c:dPt>
                <c:dPt>
                  <c:idx val="6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3B-A4B5-422E-8042-377C30AD8ADC}"/>
                    </c:ext>
                  </c:extLst>
                </c:dPt>
                <c:dPt>
                  <c:idx val="6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4B-962E-4D9C-B99B-812FB2AC153D}"/>
                    </c:ext>
                  </c:extLst>
                </c:dPt>
                <c:dPt>
                  <c:idx val="6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31-A97A-43B6-BDDC-5E52DE8BCB5A}"/>
                    </c:ext>
                  </c:extLst>
                </c:dPt>
                <c:dPt>
                  <c:idx val="6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3F-A4B5-422E-8042-377C30AD8ADC}"/>
                    </c:ext>
                  </c:extLst>
                </c:dPt>
                <c:dPt>
                  <c:idx val="7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0D-DA6A-4B96-A17C-1FF08617E929}"/>
                    </c:ext>
                  </c:extLst>
                </c:dPt>
                <c:dPt>
                  <c:idx val="7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43-A4B5-422E-8042-377C30AD8ADC}"/>
                    </c:ext>
                  </c:extLst>
                </c:dPt>
                <c:dPt>
                  <c:idx val="7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35-A97A-43B6-BDDC-5E52DE8BCB5A}"/>
                    </c:ext>
                  </c:extLst>
                </c:dPt>
                <c:dPt>
                  <c:idx val="7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27-CCE6-4BC6-948D-BF6183A19448}"/>
                    </c:ext>
                  </c:extLst>
                </c:dPt>
                <c:dPt>
                  <c:idx val="7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39-A97A-43B6-BDDC-5E52DE8BCB5A}"/>
                    </c:ext>
                  </c:extLst>
                </c:dPt>
                <c:dPt>
                  <c:idx val="7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FF-05B4-4259-B2A3-54F33A80A2AA}"/>
                    </c:ext>
                  </c:extLst>
                </c:dPt>
                <c:dPt>
                  <c:idx val="7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3D-A97A-43B6-BDDC-5E52DE8BCB5A}"/>
                    </c:ext>
                  </c:extLst>
                </c:dPt>
                <c:dPt>
                  <c:idx val="7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2B-CCE6-4BC6-948D-BF6183A19448}"/>
                    </c:ext>
                  </c:extLst>
                </c:dPt>
                <c:dPt>
                  <c:idx val="7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11-DA6A-4B96-A17C-1FF08617E929}"/>
                    </c:ext>
                  </c:extLst>
                </c:dPt>
                <c:dPt>
                  <c:idx val="7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2F-CCE6-4BC6-948D-BF6183A19448}"/>
                    </c:ext>
                  </c:extLst>
                </c:dPt>
                <c:dPt>
                  <c:idx val="8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1F-037B-4137-BE44-39F9C12750E5}"/>
                    </c:ext>
                  </c:extLst>
                </c:dPt>
                <c:dPt>
                  <c:idx val="8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33-CCE6-4BC6-948D-BF6183A19448}"/>
                    </c:ext>
                  </c:extLst>
                </c:dPt>
                <c:dPt>
                  <c:idx val="8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1B-E1F2-49E8-90BB-6A5D944FFBCA}"/>
                    </c:ext>
                  </c:extLst>
                </c:dPt>
                <c:dPt>
                  <c:idx val="8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23-037B-4137-BE44-39F9C12750E5}"/>
                    </c:ext>
                  </c:extLst>
                </c:dPt>
                <c:dPt>
                  <c:idx val="8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17-C22A-4E35-A906-67737FBCF186}"/>
                    </c:ext>
                  </c:extLst>
                </c:dPt>
                <c:dPt>
                  <c:idx val="8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1F-E1F2-49E8-90BB-6A5D944FFBCA}"/>
                    </c:ext>
                  </c:extLst>
                </c:dPt>
                <c:dPt>
                  <c:idx val="8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B3-873A-48A4-9C4D-8AB260CAD881}"/>
                    </c:ext>
                  </c:extLst>
                </c:dPt>
                <c:dPt>
                  <c:idx val="8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1B-C22A-4E35-A906-67737FBCF186}"/>
                    </c:ext>
                  </c:extLst>
                </c:dPt>
                <c:dPt>
                  <c:idx val="8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15-DA6A-4B96-A17C-1FF08617E929}"/>
                    </c:ext>
                  </c:extLst>
                </c:dPt>
                <c:dPt>
                  <c:idx val="8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03-05B4-4259-B2A3-54F33A80A2AA}"/>
                    </c:ext>
                  </c:extLst>
                </c:dPt>
                <c:dPt>
                  <c:idx val="9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19-DA6A-4B96-A17C-1FF08617E929}"/>
                    </c:ext>
                  </c:extLst>
                </c:dPt>
                <c:dPt>
                  <c:idx val="9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09-B825-430F-8F11-7910E512DB4D}"/>
                    </c:ext>
                  </c:extLst>
                </c:dPt>
                <c:dPt>
                  <c:idx val="9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1D-DA6A-4B96-A17C-1FF08617E929}"/>
                    </c:ext>
                  </c:extLst>
                </c:dPt>
                <c:dPt>
                  <c:idx val="9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F7-9EBB-4498-AF73-DE10F8F08514}"/>
                    </c:ext>
                  </c:extLst>
                </c:dPt>
                <c:dPt>
                  <c:idx val="9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0D-B825-430F-8F11-7910E512DB4D}"/>
                    </c:ext>
                  </c:extLst>
                </c:dPt>
                <c:dPt>
                  <c:idx val="9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07-05B4-4259-B2A3-54F33A80A2AA}"/>
                    </c:ext>
                  </c:extLst>
                </c:dPt>
                <c:dPt>
                  <c:idx val="9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F9-9EBB-4498-AF73-DE10F8F08514}"/>
                    </c:ext>
                  </c:extLst>
                </c:dPt>
                <c:dPt>
                  <c:idx val="9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0B-05B4-4259-B2A3-54F33A80A2AA}"/>
                    </c:ext>
                  </c:extLst>
                </c:dPt>
                <c:dPt>
                  <c:idx val="9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FB-9EBB-4498-AF73-DE10F8F08514}"/>
                    </c:ext>
                  </c:extLst>
                </c:dPt>
                <c:dPt>
                  <c:idx val="9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0F-05B4-4259-B2A3-54F33A80A2AA}"/>
                    </c:ext>
                  </c:extLst>
                </c:dPt>
                <c:dPt>
                  <c:idx val="10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F7-D68D-470C-AA9D-3BBE0CCF22EC}"/>
                    </c:ext>
                  </c:extLst>
                </c:dPt>
                <c:dPt>
                  <c:idx val="10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FF-9EBB-4498-AF73-DE10F8F08514}"/>
                    </c:ext>
                  </c:extLst>
                </c:dPt>
                <c:dPt>
                  <c:idx val="10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F3-2D24-4F43-84DD-2AED8807F518}"/>
                    </c:ext>
                  </c:extLst>
                </c:dPt>
                <c:dPt>
                  <c:idx val="10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FB-D68D-470C-AA9D-3BBE0CCF22EC}"/>
                    </c:ext>
                  </c:extLst>
                </c:dPt>
                <c:dPt>
                  <c:idx val="10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EF-107D-4B73-87D1-0C7C262617E7}"/>
                    </c:ext>
                  </c:extLst>
                </c:dPt>
                <c:dPt>
                  <c:idx val="10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F7-2D24-4F43-84DD-2AED8807F518}"/>
                    </c:ext>
                  </c:extLst>
                </c:dPt>
                <c:dPt>
                  <c:idx val="10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EB-9AC6-4259-A165-1E9FF4D14917}"/>
                    </c:ext>
                  </c:extLst>
                </c:dPt>
                <c:dPt>
                  <c:idx val="10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F3-107D-4B73-87D1-0C7C262617E7}"/>
                    </c:ext>
                  </c:extLst>
                </c:dPt>
                <c:dPt>
                  <c:idx val="10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E7-377D-4BA3-8FD6-622858C4C058}"/>
                    </c:ext>
                  </c:extLst>
                </c:dPt>
                <c:dPt>
                  <c:idx val="10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EF-9AC6-4259-A165-1E9FF4D14917}"/>
                    </c:ext>
                  </c:extLst>
                </c:dPt>
                <c:dPt>
                  <c:idx val="11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E3-2B10-4BDB-B733-44BCEC169F5F}"/>
                    </c:ext>
                  </c:extLst>
                </c:dPt>
                <c:dPt>
                  <c:idx val="11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EB-377D-4BA3-8FD6-622858C4C058}"/>
                    </c:ext>
                  </c:extLst>
                </c:dPt>
                <c:dPt>
                  <c:idx val="11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DF-9AE5-4676-995C-2F720115BB62}"/>
                    </c:ext>
                  </c:extLst>
                </c:dPt>
                <c:dPt>
                  <c:idx val="11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E7-2B10-4BDB-B733-44BCEC169F5F}"/>
                    </c:ext>
                  </c:extLst>
                </c:dPt>
                <c:dPt>
                  <c:idx val="11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DB-7CC8-4595-B3A7-83DFCA8F1B4D}"/>
                    </c:ext>
                  </c:extLst>
                </c:dPt>
                <c:dPt>
                  <c:idx val="11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E3-9AE5-4676-995C-2F720115BB62}"/>
                    </c:ext>
                  </c:extLst>
                </c:dPt>
                <c:dPt>
                  <c:idx val="11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B5-873A-48A4-9C4D-8AB260CAD881}"/>
                    </c:ext>
                  </c:extLst>
                </c:dPt>
                <c:dPt>
                  <c:idx val="11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DF-7CC8-4595-B3A7-83DFCA8F1B4D}"/>
                    </c:ext>
                  </c:extLst>
                </c:dPt>
                <c:dPt>
                  <c:idx val="11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D3-CDEC-4490-9859-88D72888B46F}"/>
                    </c:ext>
                  </c:extLst>
                </c:dPt>
                <c:dPt>
                  <c:idx val="11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E3-7CC8-4595-B3A7-83DFCA8F1B4D}"/>
                    </c:ext>
                  </c:extLst>
                </c:dPt>
                <c:dPt>
                  <c:idx val="12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C9-C015-4A9A-ACD6-7A8EC340CC3E}"/>
                    </c:ext>
                  </c:extLst>
                </c:dPt>
                <c:dPt>
                  <c:idx val="12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D7-CDEC-4490-9859-88D72888B46F}"/>
                    </c:ext>
                  </c:extLst>
                </c:dPt>
                <c:dPt>
                  <c:idx val="12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B7-873A-48A4-9C4D-8AB260CAD881}"/>
                    </c:ext>
                  </c:extLst>
                </c:dPt>
                <c:dPt>
                  <c:idx val="12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DB-CDEC-4490-9859-88D72888B46F}"/>
                    </c:ext>
                  </c:extLst>
                </c:dPt>
                <c:dPt>
                  <c:idx val="12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CD-C015-4A9A-ACD6-7A8EC340CC3E}"/>
                    </c:ext>
                  </c:extLst>
                </c:dPt>
                <c:dPt>
                  <c:idx val="12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C5-4E23-4D2F-9483-98B7DA2B7B1A}"/>
                    </c:ext>
                  </c:extLst>
                </c:dPt>
                <c:dPt>
                  <c:idx val="12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D1-C015-4A9A-ACD6-7A8EC340CC3E}"/>
                    </c:ext>
                  </c:extLst>
                </c:dPt>
                <c:dPt>
                  <c:idx val="12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C1-9294-4F09-9B9E-A7CDA70CAE52}"/>
                    </c:ext>
                  </c:extLst>
                </c:dPt>
                <c:dPt>
                  <c:idx val="12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C9-4E23-4D2F-9483-98B7DA2B7B1A}"/>
                    </c:ext>
                  </c:extLst>
                </c:dPt>
                <c:dPt>
                  <c:idx val="12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BD-0EB4-47A4-B114-49EDB5797B49}"/>
                    </c:ext>
                  </c:extLst>
                </c:dPt>
                <c:dPt>
                  <c:idx val="13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C5-9294-4F09-9B9E-A7CDA70CAE52}"/>
                    </c:ext>
                  </c:extLst>
                </c:dPt>
                <c:dPt>
                  <c:idx val="13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B9-873A-48A4-9C4D-8AB260CAD881}"/>
                    </c:ext>
                  </c:extLst>
                </c:dPt>
                <c:dPt>
                  <c:idx val="13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C1-0EB4-47A4-B114-49EDB5797B49}"/>
                    </c:ext>
                  </c:extLst>
                </c:dPt>
                <c:dPt>
                  <c:idx val="13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BB-873A-48A4-9C4D-8AB260CAD881}"/>
                    </c:ext>
                  </c:extLst>
                </c:dPt>
                <c:dPt>
                  <c:idx val="13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BD-873A-48A4-9C4D-8AB260CAD881}"/>
                    </c:ext>
                  </c:extLst>
                </c:dPt>
                <c:dPt>
                  <c:idx val="13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BF-873A-48A4-9C4D-8AB260CAD881}"/>
                    </c:ext>
                  </c:extLst>
                </c:dPt>
                <c:dPt>
                  <c:idx val="13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C1-873A-48A4-9C4D-8AB260CAD881}"/>
                    </c:ext>
                  </c:extLst>
                </c:dPt>
                <c:dPt>
                  <c:idx val="13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C3-873A-48A4-9C4D-8AB260CAD881}"/>
                    </c:ext>
                  </c:extLst>
                </c:dPt>
                <c:dPt>
                  <c:idx val="13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C5-873A-48A4-9C4D-8AB260CAD881}"/>
                    </c:ext>
                  </c:extLst>
                </c:dPt>
                <c:dPt>
                  <c:idx val="13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C7-873A-48A4-9C4D-8AB260CAD881}"/>
                    </c:ext>
                  </c:extLst>
                </c:dPt>
                <c:dPt>
                  <c:idx val="14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C9-873A-48A4-9C4D-8AB260CAD881}"/>
                    </c:ext>
                  </c:extLst>
                </c:dPt>
                <c:dPt>
                  <c:idx val="14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CB-873A-48A4-9C4D-8AB260CAD881}"/>
                    </c:ext>
                  </c:extLst>
                </c:dPt>
                <c:dPt>
                  <c:idx val="14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CD-873A-48A4-9C4D-8AB260CAD881}"/>
                    </c:ext>
                  </c:extLst>
                </c:dPt>
                <c:dPt>
                  <c:idx val="14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CF-873A-48A4-9C4D-8AB260CAD881}"/>
                    </c:ext>
                  </c:extLst>
                </c:dPt>
                <c:dPt>
                  <c:idx val="14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D1-873A-48A4-9C4D-8AB260CAD881}"/>
                    </c:ext>
                  </c:extLst>
                </c:dPt>
                <c:dPt>
                  <c:idx val="14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D3-873A-48A4-9C4D-8AB260CAD881}"/>
                    </c:ext>
                  </c:extLst>
                </c:dPt>
                <c:dPt>
                  <c:idx val="14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D5-873A-48A4-9C4D-8AB260CAD881}"/>
                    </c:ext>
                  </c:extLst>
                </c:dPt>
                <c:dPt>
                  <c:idx val="14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D7-873A-48A4-9C4D-8AB260CAD881}"/>
                    </c:ext>
                  </c:extLst>
                </c:dPt>
                <c:dPt>
                  <c:idx val="14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D9-873A-48A4-9C4D-8AB260CAD881}"/>
                    </c:ext>
                  </c:extLst>
                </c:dPt>
                <c:dPt>
                  <c:idx val="14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DB-873A-48A4-9C4D-8AB260CAD881}"/>
                    </c:ext>
                  </c:extLst>
                </c:dPt>
                <c:dPt>
                  <c:idx val="15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DD-873A-48A4-9C4D-8AB260CAD881}"/>
                    </c:ext>
                  </c:extLst>
                </c:dPt>
                <c:dPt>
                  <c:idx val="15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DF-873A-48A4-9C4D-8AB260CAD881}"/>
                    </c:ext>
                  </c:extLst>
                </c:dPt>
                <c:dPt>
                  <c:idx val="15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E1-873A-48A4-9C4D-8AB260CAD881}"/>
                    </c:ext>
                  </c:extLst>
                </c:dPt>
                <c:dPt>
                  <c:idx val="15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E3-873A-48A4-9C4D-8AB260CAD881}"/>
                    </c:ext>
                  </c:extLst>
                </c:dPt>
                <c:dPt>
                  <c:idx val="15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E5-873A-48A4-9C4D-8AB260CAD881}"/>
                    </c:ext>
                  </c:extLst>
                </c:dPt>
                <c:dPt>
                  <c:idx val="15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E7-873A-48A4-9C4D-8AB260CAD881}"/>
                    </c:ext>
                  </c:extLst>
                </c:dPt>
                <c:dPt>
                  <c:idx val="15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E9-873A-48A4-9C4D-8AB260CAD881}"/>
                    </c:ext>
                  </c:extLst>
                </c:dPt>
                <c:dPt>
                  <c:idx val="15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EB-873A-48A4-9C4D-8AB260CAD881}"/>
                    </c:ext>
                  </c:extLst>
                </c:dPt>
                <c:dPt>
                  <c:idx val="15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ED-873A-48A4-9C4D-8AB260CAD881}"/>
                    </c:ext>
                  </c:extLst>
                </c:dPt>
                <c:dPt>
                  <c:idx val="15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EF-873A-48A4-9C4D-8AB260CAD881}"/>
                    </c:ext>
                  </c:extLst>
                </c:dPt>
                <c:dPt>
                  <c:idx val="16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F1-873A-48A4-9C4D-8AB260CAD881}"/>
                    </c:ext>
                  </c:extLst>
                </c:dPt>
                <c:dPt>
                  <c:idx val="16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F3-873A-48A4-9C4D-8AB260CAD881}"/>
                    </c:ext>
                  </c:extLst>
                </c:dPt>
                <c:dPt>
                  <c:idx val="16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F5-873A-48A4-9C4D-8AB260CAD881}"/>
                    </c:ext>
                  </c:extLst>
                </c:dPt>
                <c:dPt>
                  <c:idx val="16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F7-873A-48A4-9C4D-8AB260CAD881}"/>
                    </c:ext>
                  </c:extLst>
                </c:dPt>
                <c:dPt>
                  <c:idx val="16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F9-873A-48A4-9C4D-8AB260CAD881}"/>
                    </c:ext>
                  </c:extLst>
                </c:dPt>
                <c:dPt>
                  <c:idx val="16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FB-873A-48A4-9C4D-8AB260CAD881}"/>
                    </c:ext>
                  </c:extLst>
                </c:dPt>
                <c:dPt>
                  <c:idx val="16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FD-873A-48A4-9C4D-8AB260CAD881}"/>
                    </c:ext>
                  </c:extLst>
                </c:dPt>
                <c:dPt>
                  <c:idx val="16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FF-873A-48A4-9C4D-8AB260CAD881}"/>
                    </c:ext>
                  </c:extLst>
                </c:dPt>
                <c:dPt>
                  <c:idx val="16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01-873A-48A4-9C4D-8AB260CAD881}"/>
                    </c:ext>
                  </c:extLst>
                </c:dPt>
                <c:dPt>
                  <c:idx val="16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03-873A-48A4-9C4D-8AB260CAD881}"/>
                    </c:ext>
                  </c:extLst>
                </c:dPt>
                <c:dPt>
                  <c:idx val="17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05-873A-48A4-9C4D-8AB260CAD881}"/>
                    </c:ext>
                  </c:extLst>
                </c:dPt>
                <c:dPt>
                  <c:idx val="17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07-873A-48A4-9C4D-8AB260CAD881}"/>
                    </c:ext>
                  </c:extLst>
                </c:dPt>
                <c:dPt>
                  <c:idx val="17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09-873A-48A4-9C4D-8AB260CAD881}"/>
                    </c:ext>
                  </c:extLst>
                </c:dPt>
                <c:dPt>
                  <c:idx val="17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0B-873A-48A4-9C4D-8AB260CAD881}"/>
                    </c:ext>
                  </c:extLst>
                </c:dPt>
                <c:dPt>
                  <c:idx val="17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0D-873A-48A4-9C4D-8AB260CAD881}"/>
                    </c:ext>
                  </c:extLst>
                </c:dPt>
                <c:dPt>
                  <c:idx val="17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0F-873A-48A4-9C4D-8AB260CAD881}"/>
                    </c:ext>
                  </c:extLst>
                </c:dPt>
                <c:dPt>
                  <c:idx val="17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11-873A-48A4-9C4D-8AB260CAD881}"/>
                    </c:ext>
                  </c:extLst>
                </c:dPt>
                <c:dPt>
                  <c:idx val="17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13-873A-48A4-9C4D-8AB260CAD881}"/>
                    </c:ext>
                  </c:extLst>
                </c:dPt>
                <c:dPt>
                  <c:idx val="17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15-873A-48A4-9C4D-8AB260CAD881}"/>
                    </c:ext>
                  </c:extLst>
                </c:dPt>
                <c:dPt>
                  <c:idx val="17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17-873A-48A4-9C4D-8AB260CAD881}"/>
                    </c:ext>
                  </c:extLst>
                </c:dPt>
                <c:dPt>
                  <c:idx val="18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19-873A-48A4-9C4D-8AB260CAD881}"/>
                    </c:ext>
                  </c:extLst>
                </c:dPt>
                <c:dPt>
                  <c:idx val="18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1B-873A-48A4-9C4D-8AB260CAD881}"/>
                    </c:ext>
                  </c:extLst>
                </c:dPt>
                <c:dPt>
                  <c:idx val="18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1D-873A-48A4-9C4D-8AB260CAD881}"/>
                    </c:ext>
                  </c:extLst>
                </c:dPt>
                <c:dPt>
                  <c:idx val="18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1F-873A-48A4-9C4D-8AB260CAD881}"/>
                    </c:ext>
                  </c:extLst>
                </c:dPt>
                <c:dPt>
                  <c:idx val="18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21-873A-48A4-9C4D-8AB260CAD881}"/>
                    </c:ext>
                  </c:extLst>
                </c:dPt>
                <c:dPt>
                  <c:idx val="18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23-873A-48A4-9C4D-8AB260CAD881}"/>
                    </c:ext>
                  </c:extLst>
                </c:dPt>
                <c:dPt>
                  <c:idx val="18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25-873A-48A4-9C4D-8AB260CAD881}"/>
                    </c:ext>
                  </c:extLst>
                </c:dPt>
                <c:dPt>
                  <c:idx val="18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27-873A-48A4-9C4D-8AB260CAD881}"/>
                    </c:ext>
                  </c:extLst>
                </c:dPt>
                <c:dPt>
                  <c:idx val="18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29-873A-48A4-9C4D-8AB260CAD881}"/>
                    </c:ext>
                  </c:extLst>
                </c:dPt>
                <c:dPt>
                  <c:idx val="18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2B-873A-48A4-9C4D-8AB260CAD881}"/>
                    </c:ext>
                  </c:extLst>
                </c:dPt>
                <c:dPt>
                  <c:idx val="19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2D-873A-48A4-9C4D-8AB260CAD881}"/>
                    </c:ext>
                  </c:extLst>
                </c:dPt>
                <c:dPt>
                  <c:idx val="19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2F-873A-48A4-9C4D-8AB260CAD881}"/>
                    </c:ext>
                  </c:extLst>
                </c:dPt>
                <c:dPt>
                  <c:idx val="19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31-873A-48A4-9C4D-8AB260CAD881}"/>
                    </c:ext>
                  </c:extLst>
                </c:dPt>
                <c:dPt>
                  <c:idx val="19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33-873A-48A4-9C4D-8AB260CAD881}"/>
                    </c:ext>
                  </c:extLst>
                </c:dPt>
                <c:dPt>
                  <c:idx val="19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35-873A-48A4-9C4D-8AB260CAD881}"/>
                    </c:ext>
                  </c:extLst>
                </c:dPt>
                <c:dPt>
                  <c:idx val="19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37-873A-48A4-9C4D-8AB260CAD881}"/>
                    </c:ext>
                  </c:extLst>
                </c:dPt>
                <c:dPt>
                  <c:idx val="19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39-873A-48A4-9C4D-8AB260CAD881}"/>
                    </c:ext>
                  </c:extLst>
                </c:dPt>
                <c:dPt>
                  <c:idx val="19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3B-873A-48A4-9C4D-8AB260CAD881}"/>
                    </c:ext>
                  </c:extLst>
                </c:dPt>
                <c:dPt>
                  <c:idx val="19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3D-873A-48A4-9C4D-8AB260CAD881}"/>
                    </c:ext>
                  </c:extLst>
                </c:dPt>
                <c:dPt>
                  <c:idx val="19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3F-873A-48A4-9C4D-8AB260CAD881}"/>
                    </c:ext>
                  </c:extLst>
                </c:dPt>
                <c:dPt>
                  <c:idx val="20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41-873A-48A4-9C4D-8AB260CAD881}"/>
                    </c:ext>
                  </c:extLst>
                </c:dPt>
                <c:dPt>
                  <c:idx val="20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43-873A-48A4-9C4D-8AB260CAD881}"/>
                    </c:ext>
                  </c:extLst>
                </c:dPt>
                <c:dPt>
                  <c:idx val="20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45-873A-48A4-9C4D-8AB260CAD881}"/>
                    </c:ext>
                  </c:extLst>
                </c:dPt>
                <c:dPt>
                  <c:idx val="20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47-873A-48A4-9C4D-8AB260CAD881}"/>
                    </c:ext>
                  </c:extLst>
                </c:dPt>
                <c:dPt>
                  <c:idx val="20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49-873A-48A4-9C4D-8AB260CAD881}"/>
                    </c:ext>
                  </c:extLst>
                </c:dPt>
                <c:dPt>
                  <c:idx val="20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4B-873A-48A4-9C4D-8AB260CAD881}"/>
                    </c:ext>
                  </c:extLst>
                </c:dPt>
                <c:dPt>
                  <c:idx val="20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4D-873A-48A4-9C4D-8AB260CAD881}"/>
                    </c:ext>
                  </c:extLst>
                </c:dPt>
                <c:dPt>
                  <c:idx val="20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4F-873A-48A4-9C4D-8AB260CAD881}"/>
                    </c:ext>
                  </c:extLst>
                </c:dPt>
                <c:dPt>
                  <c:idx val="20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51-873A-48A4-9C4D-8AB260CAD881}"/>
                    </c:ext>
                  </c:extLst>
                </c:dPt>
                <c:dPt>
                  <c:idx val="20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53-873A-48A4-9C4D-8AB260CAD881}"/>
                    </c:ext>
                  </c:extLst>
                </c:dPt>
                <c:dPt>
                  <c:idx val="21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55-873A-48A4-9C4D-8AB260CAD881}"/>
                    </c:ext>
                  </c:extLst>
                </c:dPt>
                <c:dPt>
                  <c:idx val="21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57-873A-48A4-9C4D-8AB260CAD881}"/>
                    </c:ext>
                  </c:extLst>
                </c:dPt>
                <c:dPt>
                  <c:idx val="21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59-873A-48A4-9C4D-8AB260CAD881}"/>
                    </c:ext>
                  </c:extLst>
                </c:dPt>
                <c:dPt>
                  <c:idx val="21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5B-873A-48A4-9C4D-8AB260CAD881}"/>
                    </c:ext>
                  </c:extLst>
                </c:dPt>
                <c:dPt>
                  <c:idx val="21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5D-873A-48A4-9C4D-8AB260CAD881}"/>
                    </c:ext>
                  </c:extLst>
                </c:dPt>
                <c:dPt>
                  <c:idx val="21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5F-873A-48A4-9C4D-8AB260CAD881}"/>
                    </c:ext>
                  </c:extLst>
                </c:dPt>
                <c:dPt>
                  <c:idx val="21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61-873A-48A4-9C4D-8AB260CAD881}"/>
                    </c:ext>
                  </c:extLst>
                </c:dPt>
                <c:dPt>
                  <c:idx val="21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63-873A-48A4-9C4D-8AB260CAD881}"/>
                    </c:ext>
                  </c:extLst>
                </c:dPt>
                <c:dPt>
                  <c:idx val="21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65-873A-48A4-9C4D-8AB260CAD881}"/>
                    </c:ext>
                  </c:extLst>
                </c:dPt>
                <c:dPt>
                  <c:idx val="21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67-873A-48A4-9C4D-8AB260CAD881}"/>
                    </c:ext>
                  </c:extLst>
                </c:dPt>
                <c:dPt>
                  <c:idx val="22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69-873A-48A4-9C4D-8AB260CAD881}"/>
                    </c:ext>
                  </c:extLst>
                </c:dPt>
                <c:dPt>
                  <c:idx val="22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6B-873A-48A4-9C4D-8AB260CAD881}"/>
                    </c:ext>
                  </c:extLst>
                </c:dPt>
                <c:dPt>
                  <c:idx val="22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6D-873A-48A4-9C4D-8AB260CAD881}"/>
                    </c:ext>
                  </c:extLst>
                </c:dPt>
                <c:dPt>
                  <c:idx val="22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6F-873A-48A4-9C4D-8AB260CAD881}"/>
                    </c:ext>
                  </c:extLst>
                </c:dPt>
                <c:dPt>
                  <c:idx val="22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71-873A-48A4-9C4D-8AB260CAD881}"/>
                    </c:ext>
                  </c:extLst>
                </c:dPt>
                <c:dPt>
                  <c:idx val="22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73-873A-48A4-9C4D-8AB260CAD881}"/>
                    </c:ext>
                  </c:extLst>
                </c:dPt>
                <c:dPt>
                  <c:idx val="22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75-873A-48A4-9C4D-8AB260CAD881}"/>
                    </c:ext>
                  </c:extLst>
                </c:dPt>
                <c:dPt>
                  <c:idx val="22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77-873A-48A4-9C4D-8AB260CAD881}"/>
                    </c:ext>
                  </c:extLst>
                </c:dPt>
                <c:dPt>
                  <c:idx val="22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79-873A-48A4-9C4D-8AB260CAD881}"/>
                    </c:ext>
                  </c:extLst>
                </c:dPt>
                <c:dPt>
                  <c:idx val="22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7B-873A-48A4-9C4D-8AB260CAD881}"/>
                    </c:ext>
                  </c:extLst>
                </c:dPt>
                <c:dPt>
                  <c:idx val="23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7D-873A-48A4-9C4D-8AB260CAD881}"/>
                    </c:ext>
                  </c:extLst>
                </c:dPt>
                <c:dPt>
                  <c:idx val="23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7F-873A-48A4-9C4D-8AB260CAD881}"/>
                    </c:ext>
                  </c:extLst>
                </c:dPt>
                <c:dPt>
                  <c:idx val="23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81-873A-48A4-9C4D-8AB260CAD881}"/>
                    </c:ext>
                  </c:extLst>
                </c:dPt>
                <c:dPt>
                  <c:idx val="23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83-873A-48A4-9C4D-8AB260CAD881}"/>
                    </c:ext>
                  </c:extLst>
                </c:dPt>
                <c:dPt>
                  <c:idx val="23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85-873A-48A4-9C4D-8AB260CAD881}"/>
                    </c:ext>
                  </c:extLst>
                </c:dPt>
                <c:dPt>
                  <c:idx val="23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87-873A-48A4-9C4D-8AB260CAD881}"/>
                    </c:ext>
                  </c:extLst>
                </c:dPt>
                <c:dPt>
                  <c:idx val="23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89-873A-48A4-9C4D-8AB260CAD881}"/>
                    </c:ext>
                  </c:extLst>
                </c:dPt>
                <c:dPt>
                  <c:idx val="23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8B-873A-48A4-9C4D-8AB260CAD881}"/>
                    </c:ext>
                  </c:extLst>
                </c:dPt>
                <c:dPt>
                  <c:idx val="23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8D-873A-48A4-9C4D-8AB260CAD881}"/>
                    </c:ext>
                  </c:extLst>
                </c:dPt>
                <c:dPt>
                  <c:idx val="23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8F-873A-48A4-9C4D-8AB260CAD881}"/>
                    </c:ext>
                  </c:extLst>
                </c:dPt>
                <c:dPt>
                  <c:idx val="24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91-873A-48A4-9C4D-8AB260CAD881}"/>
                    </c:ext>
                  </c:extLst>
                </c:dPt>
                <c:dPt>
                  <c:idx val="24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93-873A-48A4-9C4D-8AB260CAD881}"/>
                    </c:ext>
                  </c:extLst>
                </c:dPt>
                <c:dPt>
                  <c:idx val="24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95-873A-48A4-9C4D-8AB260CAD881}"/>
                    </c:ext>
                  </c:extLst>
                </c:dPt>
                <c:dPt>
                  <c:idx val="24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97-873A-48A4-9C4D-8AB260CAD881}"/>
                    </c:ext>
                  </c:extLst>
                </c:dPt>
                <c:dPt>
                  <c:idx val="24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99-873A-48A4-9C4D-8AB260CAD881}"/>
                    </c:ext>
                  </c:extLst>
                </c:dPt>
                <c:dPt>
                  <c:idx val="24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9B-873A-48A4-9C4D-8AB260CAD881}"/>
                    </c:ext>
                  </c:extLst>
                </c:dPt>
                <c:dPt>
                  <c:idx val="24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9D-873A-48A4-9C4D-8AB260CAD881}"/>
                    </c:ext>
                  </c:extLst>
                </c:dPt>
                <c:dPt>
                  <c:idx val="24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9F-873A-48A4-9C4D-8AB260CAD881}"/>
                    </c:ext>
                  </c:extLst>
                </c:dPt>
                <c:dPt>
                  <c:idx val="24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A1-873A-48A4-9C4D-8AB260CAD881}"/>
                    </c:ext>
                  </c:extLst>
                </c:dPt>
                <c:dPt>
                  <c:idx val="24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A3-873A-48A4-9C4D-8AB260CAD881}"/>
                    </c:ext>
                  </c:extLst>
                </c:dPt>
                <c:dPt>
                  <c:idx val="25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A5-873A-48A4-9C4D-8AB260CAD881}"/>
                    </c:ext>
                  </c:extLst>
                </c:dPt>
                <c:dPt>
                  <c:idx val="25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A7-873A-48A4-9C4D-8AB260CAD881}"/>
                    </c:ext>
                  </c:extLst>
                </c:dPt>
                <c:dPt>
                  <c:idx val="25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A9-873A-48A4-9C4D-8AB260CAD881}"/>
                    </c:ext>
                  </c:extLst>
                </c:dPt>
                <c:dPt>
                  <c:idx val="25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AB-873A-48A4-9C4D-8AB260CAD881}"/>
                    </c:ext>
                  </c:extLst>
                </c:dPt>
                <c:dPt>
                  <c:idx val="25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AD-873A-48A4-9C4D-8AB260CAD881}"/>
                    </c:ext>
                  </c:extLst>
                </c:dPt>
                <c:dPt>
                  <c:idx val="25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AF-873A-48A4-9C4D-8AB260CAD881}"/>
                    </c:ext>
                  </c:extLst>
                </c:dPt>
                <c:dPt>
                  <c:idx val="25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B1-873A-48A4-9C4D-8AB260CAD881}"/>
                    </c:ext>
                  </c:extLst>
                </c:dPt>
                <c:dPt>
                  <c:idx val="25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B3-873A-48A4-9C4D-8AB260CAD881}"/>
                    </c:ext>
                  </c:extLst>
                </c:dPt>
                <c:dPt>
                  <c:idx val="25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B5-873A-48A4-9C4D-8AB260CAD881}"/>
                    </c:ext>
                  </c:extLst>
                </c:dPt>
                <c:dPt>
                  <c:idx val="25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B7-873A-48A4-9C4D-8AB260CAD881}"/>
                    </c:ext>
                  </c:extLst>
                </c:dPt>
                <c:dPt>
                  <c:idx val="26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B9-873A-48A4-9C4D-8AB260CAD881}"/>
                    </c:ext>
                  </c:extLst>
                </c:dPt>
                <c:dPt>
                  <c:idx val="26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BB-873A-48A4-9C4D-8AB260CAD881}"/>
                    </c:ext>
                  </c:extLst>
                </c:dPt>
                <c:dPt>
                  <c:idx val="26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BD-873A-48A4-9C4D-8AB260CAD881}"/>
                    </c:ext>
                  </c:extLst>
                </c:dPt>
                <c:dPt>
                  <c:idx val="26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BF-873A-48A4-9C4D-8AB260CAD881}"/>
                    </c:ext>
                  </c:extLst>
                </c:dPt>
                <c:dPt>
                  <c:idx val="26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C1-873A-48A4-9C4D-8AB260CAD881}"/>
                    </c:ext>
                  </c:extLst>
                </c:dPt>
                <c:dPt>
                  <c:idx val="26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C3-873A-48A4-9C4D-8AB260CAD881}"/>
                    </c:ext>
                  </c:extLst>
                </c:dPt>
                <c:dPt>
                  <c:idx val="26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C5-873A-48A4-9C4D-8AB260CAD881}"/>
                    </c:ext>
                  </c:extLst>
                </c:dPt>
                <c:dPt>
                  <c:idx val="26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C7-873A-48A4-9C4D-8AB260CAD881}"/>
                    </c:ext>
                  </c:extLst>
                </c:dPt>
                <c:dPt>
                  <c:idx val="26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C9-873A-48A4-9C4D-8AB260CAD881}"/>
                    </c:ext>
                  </c:extLst>
                </c:dPt>
                <c:dPt>
                  <c:idx val="26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CB-873A-48A4-9C4D-8AB260CAD881}"/>
                    </c:ext>
                  </c:extLst>
                </c:dPt>
                <c:dPt>
                  <c:idx val="27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CD-873A-48A4-9C4D-8AB260CAD881}"/>
                    </c:ext>
                  </c:extLst>
                </c:dPt>
                <c:dPt>
                  <c:idx val="27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CF-873A-48A4-9C4D-8AB260CAD881}"/>
                    </c:ext>
                  </c:extLst>
                </c:dPt>
                <c:dPt>
                  <c:idx val="27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D1-873A-48A4-9C4D-8AB260CAD881}"/>
                    </c:ext>
                  </c:extLst>
                </c:dPt>
                <c:dPt>
                  <c:idx val="27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D3-873A-48A4-9C4D-8AB260CAD881}"/>
                    </c:ext>
                  </c:extLst>
                </c:dPt>
                <c:dPt>
                  <c:idx val="27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D5-873A-48A4-9C4D-8AB260CAD881}"/>
                    </c:ext>
                  </c:extLst>
                </c:dPt>
                <c:dPt>
                  <c:idx val="27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D7-873A-48A4-9C4D-8AB260CAD881}"/>
                    </c:ext>
                  </c:extLst>
                </c:dPt>
                <c:dPt>
                  <c:idx val="27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D9-873A-48A4-9C4D-8AB260CAD881}"/>
                    </c:ext>
                  </c:extLst>
                </c:dPt>
                <c:dPt>
                  <c:idx val="27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DB-873A-48A4-9C4D-8AB260CAD881}"/>
                    </c:ext>
                  </c:extLst>
                </c:dPt>
                <c:dPt>
                  <c:idx val="27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DD-873A-48A4-9C4D-8AB260CAD881}"/>
                    </c:ext>
                  </c:extLst>
                </c:dPt>
                <c:dPt>
                  <c:idx val="27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DF-873A-48A4-9C4D-8AB260CAD881}"/>
                    </c:ext>
                  </c:extLst>
                </c:dPt>
                <c:dPt>
                  <c:idx val="28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E1-873A-48A4-9C4D-8AB260CAD881}"/>
                    </c:ext>
                  </c:extLst>
                </c:dPt>
                <c:dPt>
                  <c:idx val="28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E3-873A-48A4-9C4D-8AB260CAD881}"/>
                    </c:ext>
                  </c:extLst>
                </c:dPt>
                <c:dPt>
                  <c:idx val="28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E5-873A-48A4-9C4D-8AB260CAD881}"/>
                    </c:ext>
                  </c:extLst>
                </c:dPt>
                <c:dPt>
                  <c:idx val="28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E7-873A-48A4-9C4D-8AB260CAD881}"/>
                    </c:ext>
                  </c:extLst>
                </c:dPt>
                <c:dPt>
                  <c:idx val="28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E9-873A-48A4-9C4D-8AB260CAD881}"/>
                    </c:ext>
                  </c:extLst>
                </c:dPt>
                <c:dPt>
                  <c:idx val="28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EB-873A-48A4-9C4D-8AB260CAD881}"/>
                    </c:ext>
                  </c:extLst>
                </c:dPt>
                <c:dPt>
                  <c:idx val="28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ED-873A-48A4-9C4D-8AB260CAD881}"/>
                    </c:ext>
                  </c:extLst>
                </c:dPt>
                <c:dPt>
                  <c:idx val="28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EF-873A-48A4-9C4D-8AB260CAD881}"/>
                    </c:ext>
                  </c:extLst>
                </c:dPt>
                <c:dPt>
                  <c:idx val="28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F1-873A-48A4-9C4D-8AB260CAD881}"/>
                    </c:ext>
                  </c:extLst>
                </c:dPt>
                <c:dPt>
                  <c:idx val="28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F3-873A-48A4-9C4D-8AB260CAD881}"/>
                    </c:ext>
                  </c:extLst>
                </c:dPt>
                <c:dPt>
                  <c:idx val="29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F5-873A-48A4-9C4D-8AB260CAD881}"/>
                    </c:ext>
                  </c:extLst>
                </c:dPt>
                <c:dPt>
                  <c:idx val="29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F7-873A-48A4-9C4D-8AB260CAD881}"/>
                    </c:ext>
                  </c:extLst>
                </c:dPt>
                <c:dPt>
                  <c:idx val="29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F9-873A-48A4-9C4D-8AB260CAD881}"/>
                    </c:ext>
                  </c:extLst>
                </c:dPt>
                <c:dPt>
                  <c:idx val="29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FB-873A-48A4-9C4D-8AB260CAD881}"/>
                    </c:ext>
                  </c:extLst>
                </c:dPt>
                <c:dPt>
                  <c:idx val="29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FD-873A-48A4-9C4D-8AB260CAD881}"/>
                    </c:ext>
                  </c:extLst>
                </c:dPt>
                <c:dPt>
                  <c:idx val="29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FF-873A-48A4-9C4D-8AB260CAD881}"/>
                    </c:ext>
                  </c:extLst>
                </c:dPt>
                <c:dPt>
                  <c:idx val="29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01-873A-48A4-9C4D-8AB260CAD881}"/>
                    </c:ext>
                  </c:extLst>
                </c:dPt>
                <c:dPt>
                  <c:idx val="29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03-873A-48A4-9C4D-8AB260CAD881}"/>
                    </c:ext>
                  </c:extLst>
                </c:dPt>
                <c:dPt>
                  <c:idx val="29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05-873A-48A4-9C4D-8AB260CAD881}"/>
                    </c:ext>
                  </c:extLst>
                </c:dPt>
                <c:dPt>
                  <c:idx val="29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07-873A-48A4-9C4D-8AB260CAD881}"/>
                    </c:ext>
                  </c:extLst>
                </c:dPt>
                <c:dPt>
                  <c:idx val="30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09-873A-48A4-9C4D-8AB260CAD881}"/>
                    </c:ext>
                  </c:extLst>
                </c:dPt>
                <c:dPt>
                  <c:idx val="30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0B-873A-48A4-9C4D-8AB260CAD881}"/>
                    </c:ext>
                  </c:extLst>
                </c:dPt>
                <c:dPt>
                  <c:idx val="30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0D-873A-48A4-9C4D-8AB260CAD881}"/>
                    </c:ext>
                  </c:extLst>
                </c:dPt>
                <c:dPt>
                  <c:idx val="30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0F-873A-48A4-9C4D-8AB260CAD881}"/>
                    </c:ext>
                  </c:extLst>
                </c:dPt>
                <c:dPt>
                  <c:idx val="30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11-873A-48A4-9C4D-8AB260CAD881}"/>
                    </c:ext>
                  </c:extLst>
                </c:dPt>
                <c:dPt>
                  <c:idx val="30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13-873A-48A4-9C4D-8AB260CAD881}"/>
                    </c:ext>
                  </c:extLst>
                </c:dPt>
                <c:dPt>
                  <c:idx val="30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15-873A-48A4-9C4D-8AB260CAD881}"/>
                    </c:ext>
                  </c:extLst>
                </c:dPt>
                <c:dPt>
                  <c:idx val="30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17-873A-48A4-9C4D-8AB260CAD881}"/>
                    </c:ext>
                  </c:extLst>
                </c:dPt>
                <c:dPt>
                  <c:idx val="30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19-873A-48A4-9C4D-8AB260CAD881}"/>
                    </c:ext>
                  </c:extLst>
                </c:dPt>
                <c:dPt>
                  <c:idx val="30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1B-873A-48A4-9C4D-8AB260CAD881}"/>
                    </c:ext>
                  </c:extLst>
                </c:dPt>
                <c:dPt>
                  <c:idx val="31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1D-873A-48A4-9C4D-8AB260CAD881}"/>
                    </c:ext>
                  </c:extLst>
                </c:dPt>
                <c:dPt>
                  <c:idx val="31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1F-873A-48A4-9C4D-8AB260CAD881}"/>
                    </c:ext>
                  </c:extLst>
                </c:dPt>
                <c:dPt>
                  <c:idx val="31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21-873A-48A4-9C4D-8AB260CAD881}"/>
                    </c:ext>
                  </c:extLst>
                </c:dPt>
                <c:dPt>
                  <c:idx val="31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23-873A-48A4-9C4D-8AB260CAD881}"/>
                    </c:ext>
                  </c:extLst>
                </c:dPt>
                <c:dPt>
                  <c:idx val="31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25-873A-48A4-9C4D-8AB260CAD881}"/>
                    </c:ext>
                  </c:extLst>
                </c:dPt>
                <c:dPt>
                  <c:idx val="31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27-873A-48A4-9C4D-8AB260CAD881}"/>
                    </c:ext>
                  </c:extLst>
                </c:dPt>
                <c:dPt>
                  <c:idx val="31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29-873A-48A4-9C4D-8AB260CAD881}"/>
                    </c:ext>
                  </c:extLst>
                </c:dPt>
                <c:dPt>
                  <c:idx val="31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2B-873A-48A4-9C4D-8AB260CAD881}"/>
                    </c:ext>
                  </c:extLst>
                </c:dPt>
                <c:dPt>
                  <c:idx val="31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2D-873A-48A4-9C4D-8AB260CAD881}"/>
                    </c:ext>
                  </c:extLst>
                </c:dPt>
                <c:dPt>
                  <c:idx val="31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2F-873A-48A4-9C4D-8AB260CAD881}"/>
                    </c:ext>
                  </c:extLst>
                </c:dPt>
                <c:dPt>
                  <c:idx val="32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31-873A-48A4-9C4D-8AB260CAD881}"/>
                    </c:ext>
                  </c:extLst>
                </c:dPt>
                <c:dPt>
                  <c:idx val="32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33-873A-48A4-9C4D-8AB260CAD881}"/>
                    </c:ext>
                  </c:extLst>
                </c:dPt>
                <c:dPt>
                  <c:idx val="32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35-873A-48A4-9C4D-8AB260CAD881}"/>
                    </c:ext>
                  </c:extLst>
                </c:dPt>
                <c:dPt>
                  <c:idx val="32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37-873A-48A4-9C4D-8AB260CAD881}"/>
                    </c:ext>
                  </c:extLst>
                </c:dPt>
                <c:dPt>
                  <c:idx val="32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39-873A-48A4-9C4D-8AB260CAD881}"/>
                    </c:ext>
                  </c:extLst>
                </c:dPt>
                <c:dPt>
                  <c:idx val="32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3B-873A-48A4-9C4D-8AB260CAD881}"/>
                    </c:ext>
                  </c:extLst>
                </c:dPt>
                <c:dPt>
                  <c:idx val="32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3D-873A-48A4-9C4D-8AB260CAD881}"/>
                    </c:ext>
                  </c:extLst>
                </c:dPt>
                <c:dPt>
                  <c:idx val="32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3F-873A-48A4-9C4D-8AB260CAD881}"/>
                    </c:ext>
                  </c:extLst>
                </c:dPt>
                <c:dPt>
                  <c:idx val="32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41-873A-48A4-9C4D-8AB260CAD881}"/>
                    </c:ext>
                  </c:extLst>
                </c:dPt>
                <c:dPt>
                  <c:idx val="32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43-873A-48A4-9C4D-8AB260CAD881}"/>
                    </c:ext>
                  </c:extLst>
                </c:dPt>
                <c:dPt>
                  <c:idx val="33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45-873A-48A4-9C4D-8AB260CAD881}"/>
                    </c:ext>
                  </c:extLst>
                </c:dPt>
                <c:dPt>
                  <c:idx val="33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47-873A-48A4-9C4D-8AB260CAD881}"/>
                    </c:ext>
                  </c:extLst>
                </c:dPt>
                <c:dPt>
                  <c:idx val="33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49-873A-48A4-9C4D-8AB260CAD881}"/>
                    </c:ext>
                  </c:extLst>
                </c:dPt>
                <c:dPt>
                  <c:idx val="33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4B-873A-48A4-9C4D-8AB260CAD881}"/>
                    </c:ext>
                  </c:extLst>
                </c:dPt>
                <c:dPt>
                  <c:idx val="33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4D-873A-48A4-9C4D-8AB260CAD881}"/>
                    </c:ext>
                  </c:extLst>
                </c:dPt>
                <c:dPt>
                  <c:idx val="33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4F-873A-48A4-9C4D-8AB260CAD881}"/>
                    </c:ext>
                  </c:extLst>
                </c:dPt>
                <c:dPt>
                  <c:idx val="33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51-873A-48A4-9C4D-8AB260CAD881}"/>
                    </c:ext>
                  </c:extLst>
                </c:dPt>
                <c:dPt>
                  <c:idx val="33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53-873A-48A4-9C4D-8AB260CAD881}"/>
                    </c:ext>
                  </c:extLst>
                </c:dPt>
                <c:dPt>
                  <c:idx val="33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55-873A-48A4-9C4D-8AB260CAD881}"/>
                    </c:ext>
                  </c:extLst>
                </c:dPt>
                <c:dPt>
                  <c:idx val="33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57-873A-48A4-9C4D-8AB260CAD881}"/>
                    </c:ext>
                  </c:extLst>
                </c:dPt>
                <c:dPt>
                  <c:idx val="34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59-873A-48A4-9C4D-8AB260CAD881}"/>
                    </c:ext>
                  </c:extLst>
                </c:dPt>
                <c:dPt>
                  <c:idx val="34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5B-873A-48A4-9C4D-8AB260CAD881}"/>
                    </c:ext>
                  </c:extLst>
                </c:dPt>
                <c:dPt>
                  <c:idx val="34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5D-873A-48A4-9C4D-8AB260CAD881}"/>
                    </c:ext>
                  </c:extLst>
                </c:dPt>
                <c:dPt>
                  <c:idx val="34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5F-873A-48A4-9C4D-8AB260CAD881}"/>
                    </c:ext>
                  </c:extLst>
                </c:dPt>
                <c:dPt>
                  <c:idx val="34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61-873A-48A4-9C4D-8AB260CAD881}"/>
                    </c:ext>
                  </c:extLst>
                </c:dPt>
                <c:dPt>
                  <c:idx val="34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63-873A-48A4-9C4D-8AB260CAD881}"/>
                    </c:ext>
                  </c:extLst>
                </c:dPt>
                <c:dPt>
                  <c:idx val="34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65-873A-48A4-9C4D-8AB260CAD881}"/>
                    </c:ext>
                  </c:extLst>
                </c:dPt>
                <c:dPt>
                  <c:idx val="34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67-873A-48A4-9C4D-8AB260CAD881}"/>
                    </c:ext>
                  </c:extLst>
                </c:dPt>
                <c:dPt>
                  <c:idx val="34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69-873A-48A4-9C4D-8AB260CAD881}"/>
                    </c:ext>
                  </c:extLst>
                </c:dPt>
                <c:dPt>
                  <c:idx val="34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6B-873A-48A4-9C4D-8AB260CAD881}"/>
                    </c:ext>
                  </c:extLst>
                </c:dPt>
                <c:dPt>
                  <c:idx val="35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6D-873A-48A4-9C4D-8AB260CAD881}"/>
                    </c:ext>
                  </c:extLst>
                </c:dPt>
                <c:dPt>
                  <c:idx val="35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6F-873A-48A4-9C4D-8AB260CAD881}"/>
                    </c:ext>
                  </c:extLst>
                </c:dPt>
                <c:dPt>
                  <c:idx val="35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71-873A-48A4-9C4D-8AB260CAD881}"/>
                    </c:ext>
                  </c:extLst>
                </c:dPt>
                <c:dPt>
                  <c:idx val="35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73-873A-48A4-9C4D-8AB260CAD881}"/>
                    </c:ext>
                  </c:extLst>
                </c:dPt>
                <c:dPt>
                  <c:idx val="35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75-873A-48A4-9C4D-8AB260CAD881}"/>
                    </c:ext>
                  </c:extLst>
                </c:dPt>
                <c:dPt>
                  <c:idx val="35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77-873A-48A4-9C4D-8AB260CAD881}"/>
                    </c:ext>
                  </c:extLst>
                </c:dPt>
                <c:dPt>
                  <c:idx val="35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79-873A-48A4-9C4D-8AB260CAD881}"/>
                    </c:ext>
                  </c:extLst>
                </c:dPt>
                <c:dPt>
                  <c:idx val="35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7B-873A-48A4-9C4D-8AB260CAD881}"/>
                    </c:ext>
                  </c:extLst>
                </c:dPt>
                <c:dPt>
                  <c:idx val="35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7D-873A-48A4-9C4D-8AB260CAD881}"/>
                    </c:ext>
                  </c:extLst>
                </c:dPt>
                <c:dPt>
                  <c:idx val="35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7F-873A-48A4-9C4D-8AB260CAD881}"/>
                    </c:ext>
                  </c:extLst>
                </c:dPt>
                <c:dPt>
                  <c:idx val="36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81-873A-48A4-9C4D-8AB260CAD881}"/>
                    </c:ext>
                  </c:extLst>
                </c:dPt>
                <c:dPt>
                  <c:idx val="36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83-873A-48A4-9C4D-8AB260CAD881}"/>
                    </c:ext>
                  </c:extLst>
                </c:dPt>
                <c:dPt>
                  <c:idx val="36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85-873A-48A4-9C4D-8AB260CAD881}"/>
                    </c:ext>
                  </c:extLst>
                </c:dPt>
                <c:dPt>
                  <c:idx val="36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87-873A-48A4-9C4D-8AB260CAD881}"/>
                    </c:ext>
                  </c:extLst>
                </c:dPt>
                <c:dPt>
                  <c:idx val="36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89-873A-48A4-9C4D-8AB260CAD881}"/>
                    </c:ext>
                  </c:extLst>
                </c:dPt>
                <c:dPt>
                  <c:idx val="36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8B-873A-48A4-9C4D-8AB260CAD881}"/>
                    </c:ext>
                  </c:extLst>
                </c:dPt>
                <c:dPt>
                  <c:idx val="36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8D-873A-48A4-9C4D-8AB260CAD881}"/>
                    </c:ext>
                  </c:extLst>
                </c:dPt>
                <c:dPt>
                  <c:idx val="36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8F-873A-48A4-9C4D-8AB260CAD881}"/>
                    </c:ext>
                  </c:extLst>
                </c:dPt>
                <c:dPt>
                  <c:idx val="36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91-873A-48A4-9C4D-8AB260CAD881}"/>
                    </c:ext>
                  </c:extLst>
                </c:dPt>
                <c:dPt>
                  <c:idx val="36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93-873A-48A4-9C4D-8AB260CAD881}"/>
                    </c:ext>
                  </c:extLst>
                </c:dPt>
                <c:dPt>
                  <c:idx val="37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95-873A-48A4-9C4D-8AB260CAD881}"/>
                    </c:ext>
                  </c:extLst>
                </c:dPt>
                <c:dPt>
                  <c:idx val="37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97-873A-48A4-9C4D-8AB260CAD881}"/>
                    </c:ext>
                  </c:extLst>
                </c:dPt>
                <c:dPt>
                  <c:idx val="37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99-873A-48A4-9C4D-8AB260CAD881}"/>
                    </c:ext>
                  </c:extLst>
                </c:dPt>
                <c:dPt>
                  <c:idx val="37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9B-873A-48A4-9C4D-8AB260CAD881}"/>
                    </c:ext>
                  </c:extLst>
                </c:dPt>
                <c:dPt>
                  <c:idx val="37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9D-873A-48A4-9C4D-8AB260CAD881}"/>
                    </c:ext>
                  </c:extLst>
                </c:dPt>
                <c:dPt>
                  <c:idx val="37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9F-873A-48A4-9C4D-8AB260CAD881}"/>
                    </c:ext>
                  </c:extLst>
                </c:dPt>
                <c:dPt>
                  <c:idx val="37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A1-873A-48A4-9C4D-8AB260CAD881}"/>
                    </c:ext>
                  </c:extLst>
                </c:dPt>
                <c:dPt>
                  <c:idx val="37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A3-873A-48A4-9C4D-8AB260CAD881}"/>
                    </c:ext>
                  </c:extLst>
                </c:dPt>
                <c:dPt>
                  <c:idx val="37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A5-873A-48A4-9C4D-8AB260CAD881}"/>
                    </c:ext>
                  </c:extLst>
                </c:dPt>
                <c:dPt>
                  <c:idx val="37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A7-873A-48A4-9C4D-8AB260CAD881}"/>
                    </c:ext>
                  </c:extLst>
                </c:dPt>
                <c:dPt>
                  <c:idx val="38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A9-873A-48A4-9C4D-8AB260CAD881}"/>
                    </c:ext>
                  </c:extLst>
                </c:dPt>
                <c:dPt>
                  <c:idx val="38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AB-873A-48A4-9C4D-8AB260CAD881}"/>
                    </c:ext>
                  </c:extLst>
                </c:dPt>
                <c:dPt>
                  <c:idx val="38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AD-873A-48A4-9C4D-8AB260CAD881}"/>
                    </c:ext>
                  </c:extLst>
                </c:dPt>
                <c:dPt>
                  <c:idx val="38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AF-873A-48A4-9C4D-8AB260CAD881}"/>
                    </c:ext>
                  </c:extLst>
                </c:dPt>
                <c:dPt>
                  <c:idx val="38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B1-873A-48A4-9C4D-8AB260CAD881}"/>
                    </c:ext>
                  </c:extLst>
                </c:dPt>
                <c:dPt>
                  <c:idx val="38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B3-873A-48A4-9C4D-8AB260CAD881}"/>
                    </c:ext>
                  </c:extLst>
                </c:dPt>
                <c:dPt>
                  <c:idx val="38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B5-873A-48A4-9C4D-8AB260CAD881}"/>
                    </c:ext>
                  </c:extLst>
                </c:dPt>
                <c:dPt>
                  <c:idx val="38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B7-873A-48A4-9C4D-8AB260CAD881}"/>
                    </c:ext>
                  </c:extLst>
                </c:dPt>
                <c:dPt>
                  <c:idx val="38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B9-873A-48A4-9C4D-8AB260CAD881}"/>
                    </c:ext>
                  </c:extLst>
                </c:dPt>
                <c:dPt>
                  <c:idx val="38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BB-873A-48A4-9C4D-8AB260CAD881}"/>
                    </c:ext>
                  </c:extLst>
                </c:dPt>
                <c:dPt>
                  <c:idx val="39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BD-873A-48A4-9C4D-8AB260CAD881}"/>
                    </c:ext>
                  </c:extLst>
                </c:dPt>
                <c:dPt>
                  <c:idx val="39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BF-873A-48A4-9C4D-8AB260CAD881}"/>
                    </c:ext>
                  </c:extLst>
                </c:dPt>
                <c:dPt>
                  <c:idx val="39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C1-873A-48A4-9C4D-8AB260CAD881}"/>
                    </c:ext>
                  </c:extLst>
                </c:dPt>
                <c:dPt>
                  <c:idx val="39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C3-873A-48A4-9C4D-8AB260CAD881}"/>
                    </c:ext>
                  </c:extLst>
                </c:dPt>
                <c:dPt>
                  <c:idx val="39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C5-873A-48A4-9C4D-8AB260CAD881}"/>
                    </c:ext>
                  </c:extLst>
                </c:dPt>
                <c:dPt>
                  <c:idx val="39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C7-873A-48A4-9C4D-8AB260CAD881}"/>
                    </c:ext>
                  </c:extLst>
                </c:dPt>
                <c:dPt>
                  <c:idx val="39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C9-873A-48A4-9C4D-8AB260CAD881}"/>
                    </c:ext>
                  </c:extLst>
                </c:dPt>
                <c:dPt>
                  <c:idx val="39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CB-873A-48A4-9C4D-8AB260CAD881}"/>
                    </c:ext>
                  </c:extLst>
                </c:dPt>
                <c:dPt>
                  <c:idx val="39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CD-873A-48A4-9C4D-8AB260CAD881}"/>
                    </c:ext>
                  </c:extLst>
                </c:dPt>
                <c:dPt>
                  <c:idx val="39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CF-873A-48A4-9C4D-8AB260CAD881}"/>
                    </c:ext>
                  </c:extLst>
                </c:dPt>
                <c:dPt>
                  <c:idx val="40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D1-873A-48A4-9C4D-8AB260CAD881}"/>
                    </c:ext>
                  </c:extLst>
                </c:dPt>
                <c:dPt>
                  <c:idx val="40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D3-873A-48A4-9C4D-8AB260CAD881}"/>
                    </c:ext>
                  </c:extLst>
                </c:dPt>
                <c:dPt>
                  <c:idx val="40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D5-873A-48A4-9C4D-8AB260CAD881}"/>
                    </c:ext>
                  </c:extLst>
                </c:dPt>
                <c:dPt>
                  <c:idx val="40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D7-873A-48A4-9C4D-8AB260CAD881}"/>
                    </c:ext>
                  </c:extLst>
                </c:dPt>
                <c:dPt>
                  <c:idx val="40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D9-873A-48A4-9C4D-8AB260CAD881}"/>
                    </c:ext>
                  </c:extLst>
                </c:dPt>
                <c:dPt>
                  <c:idx val="40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DB-873A-48A4-9C4D-8AB260CAD881}"/>
                    </c:ext>
                  </c:extLst>
                </c:dPt>
                <c:dPt>
                  <c:idx val="40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DD-873A-48A4-9C4D-8AB260CAD881}"/>
                    </c:ext>
                  </c:extLst>
                </c:dPt>
                <c:dPt>
                  <c:idx val="40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DF-873A-48A4-9C4D-8AB260CAD881}"/>
                    </c:ext>
                  </c:extLst>
                </c:dPt>
                <c:dPt>
                  <c:idx val="40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E1-873A-48A4-9C4D-8AB260CAD881}"/>
                    </c:ext>
                  </c:extLst>
                </c:dPt>
                <c:dPt>
                  <c:idx val="40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E3-873A-48A4-9C4D-8AB260CAD881}"/>
                    </c:ext>
                  </c:extLst>
                </c:dPt>
                <c:dPt>
                  <c:idx val="41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E5-873A-48A4-9C4D-8AB260CAD881}"/>
                    </c:ext>
                  </c:extLst>
                </c:dPt>
                <c:dPt>
                  <c:idx val="41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E7-873A-48A4-9C4D-8AB260CAD881}"/>
                    </c:ext>
                  </c:extLst>
                </c:dPt>
                <c:dPt>
                  <c:idx val="41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E9-873A-48A4-9C4D-8AB260CAD881}"/>
                    </c:ext>
                  </c:extLst>
                </c:dPt>
                <c:dPt>
                  <c:idx val="41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EB-873A-48A4-9C4D-8AB260CAD881}"/>
                    </c:ext>
                  </c:extLst>
                </c:dPt>
                <c:dPt>
                  <c:idx val="41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ED-873A-48A4-9C4D-8AB260CAD881}"/>
                    </c:ext>
                  </c:extLst>
                </c:dPt>
                <c:dPt>
                  <c:idx val="41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EF-873A-48A4-9C4D-8AB260CAD881}"/>
                    </c:ext>
                  </c:extLst>
                </c:dPt>
                <c:dPt>
                  <c:idx val="41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F1-873A-48A4-9C4D-8AB260CAD881}"/>
                    </c:ext>
                  </c:extLst>
                </c:dPt>
                <c:dPt>
                  <c:idx val="41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F3-873A-48A4-9C4D-8AB260CAD881}"/>
                    </c:ext>
                  </c:extLst>
                </c:dPt>
                <c:dPt>
                  <c:idx val="41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F5-873A-48A4-9C4D-8AB260CAD881}"/>
                    </c:ext>
                  </c:extLst>
                </c:dPt>
                <c:dPt>
                  <c:idx val="41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F7-873A-48A4-9C4D-8AB260CAD881}"/>
                    </c:ext>
                  </c:extLst>
                </c:dPt>
                <c:dPt>
                  <c:idx val="42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F9-873A-48A4-9C4D-8AB260CAD881}"/>
                    </c:ext>
                  </c:extLst>
                </c:dPt>
                <c:dPt>
                  <c:idx val="42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FB-873A-48A4-9C4D-8AB260CAD881}"/>
                    </c:ext>
                  </c:extLst>
                </c:dPt>
                <c:dPt>
                  <c:idx val="42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FD-873A-48A4-9C4D-8AB260CAD881}"/>
                    </c:ext>
                  </c:extLst>
                </c:dPt>
                <c:dPt>
                  <c:idx val="42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FF-873A-48A4-9C4D-8AB260CAD881}"/>
                    </c:ext>
                  </c:extLst>
                </c:dPt>
                <c:dPt>
                  <c:idx val="42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01-873A-48A4-9C4D-8AB260CAD881}"/>
                    </c:ext>
                  </c:extLst>
                </c:dPt>
                <c:dPt>
                  <c:idx val="42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03-873A-48A4-9C4D-8AB260CAD881}"/>
                    </c:ext>
                  </c:extLst>
                </c:dPt>
                <c:dPt>
                  <c:idx val="42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05-873A-48A4-9C4D-8AB260CAD881}"/>
                    </c:ext>
                  </c:extLst>
                </c:dPt>
                <c:dPt>
                  <c:idx val="42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07-873A-48A4-9C4D-8AB260CAD881}"/>
                    </c:ext>
                  </c:extLst>
                </c:dPt>
                <c:dPt>
                  <c:idx val="42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09-873A-48A4-9C4D-8AB260CAD881}"/>
                    </c:ext>
                  </c:extLst>
                </c:dPt>
                <c:dPt>
                  <c:idx val="42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0B-873A-48A4-9C4D-8AB260CAD881}"/>
                    </c:ext>
                  </c:extLst>
                </c:dPt>
                <c:dPt>
                  <c:idx val="43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0D-873A-48A4-9C4D-8AB260CAD881}"/>
                    </c:ext>
                  </c:extLst>
                </c:dPt>
                <c:dPt>
                  <c:idx val="43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0F-873A-48A4-9C4D-8AB260CAD881}"/>
                    </c:ext>
                  </c:extLst>
                </c:dPt>
                <c:dPt>
                  <c:idx val="43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11-873A-48A4-9C4D-8AB260CAD881}"/>
                    </c:ext>
                  </c:extLst>
                </c:dPt>
                <c:dPt>
                  <c:idx val="43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13-873A-48A4-9C4D-8AB260CAD881}"/>
                    </c:ext>
                  </c:extLst>
                </c:dPt>
                <c:dPt>
                  <c:idx val="43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15-873A-48A4-9C4D-8AB260CAD881}"/>
                    </c:ext>
                  </c:extLst>
                </c:dPt>
                <c:dPt>
                  <c:idx val="43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17-873A-48A4-9C4D-8AB260CAD881}"/>
                    </c:ext>
                  </c:extLst>
                </c:dPt>
                <c:dPt>
                  <c:idx val="43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19-873A-48A4-9C4D-8AB260CAD881}"/>
                    </c:ext>
                  </c:extLst>
                </c:dPt>
                <c:dPt>
                  <c:idx val="43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1B-873A-48A4-9C4D-8AB260CAD881}"/>
                    </c:ext>
                  </c:extLst>
                </c:dPt>
                <c:dPt>
                  <c:idx val="43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1D-873A-48A4-9C4D-8AB260CAD881}"/>
                    </c:ext>
                  </c:extLst>
                </c:dPt>
                <c:dPt>
                  <c:idx val="43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1F-873A-48A4-9C4D-8AB260CAD881}"/>
                    </c:ext>
                  </c:extLst>
                </c:dPt>
                <c:dPt>
                  <c:idx val="44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21-873A-48A4-9C4D-8AB260CAD881}"/>
                    </c:ext>
                  </c:extLst>
                </c:dPt>
                <c:dPt>
                  <c:idx val="44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23-873A-48A4-9C4D-8AB260CAD881}"/>
                    </c:ext>
                  </c:extLst>
                </c:dPt>
                <c:dPt>
                  <c:idx val="44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25-873A-48A4-9C4D-8AB260CAD881}"/>
                    </c:ext>
                  </c:extLst>
                </c:dPt>
                <c:dPt>
                  <c:idx val="44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27-873A-48A4-9C4D-8AB260CAD881}"/>
                    </c:ext>
                  </c:extLst>
                </c:dPt>
                <c:dPt>
                  <c:idx val="44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29-873A-48A4-9C4D-8AB260CAD881}"/>
                    </c:ext>
                  </c:extLst>
                </c:dPt>
                <c:dPt>
                  <c:idx val="44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2B-873A-48A4-9C4D-8AB260CAD881}"/>
                    </c:ext>
                  </c:extLst>
                </c:dPt>
                <c:dPt>
                  <c:idx val="44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2D-873A-48A4-9C4D-8AB260CAD881}"/>
                    </c:ext>
                  </c:extLst>
                </c:dPt>
                <c:dPt>
                  <c:idx val="44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2F-873A-48A4-9C4D-8AB260CAD881}"/>
                    </c:ext>
                  </c:extLst>
                </c:dPt>
                <c:dPt>
                  <c:idx val="44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31-873A-48A4-9C4D-8AB260CAD881}"/>
                    </c:ext>
                  </c:extLst>
                </c:dPt>
                <c:dPt>
                  <c:idx val="44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33-873A-48A4-9C4D-8AB260CAD881}"/>
                    </c:ext>
                  </c:extLst>
                </c:dPt>
                <c:dPt>
                  <c:idx val="45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35-873A-48A4-9C4D-8AB260CAD881}"/>
                    </c:ext>
                  </c:extLst>
                </c:dPt>
                <c:dPt>
                  <c:idx val="45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37-873A-48A4-9C4D-8AB260CAD881}"/>
                    </c:ext>
                  </c:extLst>
                </c:dPt>
                <c:dPt>
                  <c:idx val="45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39-873A-48A4-9C4D-8AB260CAD881}"/>
                    </c:ext>
                  </c:extLst>
                </c:dPt>
                <c:dPt>
                  <c:idx val="45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3B-873A-48A4-9C4D-8AB260CAD881}"/>
                    </c:ext>
                  </c:extLst>
                </c:dPt>
                <c:dPt>
                  <c:idx val="45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3D-873A-48A4-9C4D-8AB260CAD881}"/>
                    </c:ext>
                  </c:extLst>
                </c:dPt>
                <c:dPt>
                  <c:idx val="45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3F-873A-48A4-9C4D-8AB260CAD881}"/>
                    </c:ext>
                  </c:extLst>
                </c:dPt>
                <c:dPt>
                  <c:idx val="45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41-873A-48A4-9C4D-8AB260CAD881}"/>
                    </c:ext>
                  </c:extLst>
                </c:dPt>
                <c:dPt>
                  <c:idx val="45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43-873A-48A4-9C4D-8AB260CAD881}"/>
                    </c:ext>
                  </c:extLst>
                </c:dPt>
                <c:dPt>
                  <c:idx val="45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45-873A-48A4-9C4D-8AB260CAD881}"/>
                    </c:ext>
                  </c:extLst>
                </c:dPt>
                <c:dPt>
                  <c:idx val="45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47-873A-48A4-9C4D-8AB260CAD881}"/>
                    </c:ext>
                  </c:extLst>
                </c:dPt>
                <c:dPt>
                  <c:idx val="46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49-873A-48A4-9C4D-8AB260CAD881}"/>
                    </c:ext>
                  </c:extLst>
                </c:dPt>
                <c:dPt>
                  <c:idx val="46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4B-873A-48A4-9C4D-8AB260CAD881}"/>
                    </c:ext>
                  </c:extLst>
                </c:dPt>
                <c:dPt>
                  <c:idx val="46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4D-873A-48A4-9C4D-8AB260CAD881}"/>
                    </c:ext>
                  </c:extLst>
                </c:dPt>
                <c:dPt>
                  <c:idx val="46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4F-873A-48A4-9C4D-8AB260CAD881}"/>
                    </c:ext>
                  </c:extLst>
                </c:dPt>
                <c:dPt>
                  <c:idx val="46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51-873A-48A4-9C4D-8AB260CAD881}"/>
                    </c:ext>
                  </c:extLst>
                </c:dPt>
                <c:dPt>
                  <c:idx val="46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53-873A-48A4-9C4D-8AB260CAD881}"/>
                    </c:ext>
                  </c:extLst>
                </c:dPt>
                <c:dPt>
                  <c:idx val="46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55-873A-48A4-9C4D-8AB260CAD881}"/>
                    </c:ext>
                  </c:extLst>
                </c:dPt>
                <c:dPt>
                  <c:idx val="46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57-873A-48A4-9C4D-8AB260CAD881}"/>
                    </c:ext>
                  </c:extLst>
                </c:dPt>
                <c:dPt>
                  <c:idx val="46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59-873A-48A4-9C4D-8AB260CAD881}"/>
                    </c:ext>
                  </c:extLst>
                </c:dPt>
                <c:dPt>
                  <c:idx val="46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5B-873A-48A4-9C4D-8AB260CAD881}"/>
                    </c:ext>
                  </c:extLst>
                </c:dPt>
                <c:dPt>
                  <c:idx val="47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5D-873A-48A4-9C4D-8AB260CAD881}"/>
                    </c:ext>
                  </c:extLst>
                </c:dPt>
                <c:dPt>
                  <c:idx val="47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5F-873A-48A4-9C4D-8AB260CAD881}"/>
                    </c:ext>
                  </c:extLst>
                </c:dPt>
                <c:dPt>
                  <c:idx val="47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61-873A-48A4-9C4D-8AB260CAD881}"/>
                    </c:ext>
                  </c:extLst>
                </c:dPt>
                <c:dPt>
                  <c:idx val="47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63-873A-48A4-9C4D-8AB260CAD881}"/>
                    </c:ext>
                  </c:extLst>
                </c:dPt>
                <c:dPt>
                  <c:idx val="47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65-873A-48A4-9C4D-8AB260CAD881}"/>
                    </c:ext>
                  </c:extLst>
                </c:dPt>
                <c:dPt>
                  <c:idx val="47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67-873A-48A4-9C4D-8AB260CAD881}"/>
                    </c:ext>
                  </c:extLst>
                </c:dPt>
                <c:dPt>
                  <c:idx val="47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69-873A-48A4-9C4D-8AB260CAD881}"/>
                    </c:ext>
                  </c:extLst>
                </c:dPt>
                <c:dPt>
                  <c:idx val="47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6B-873A-48A4-9C4D-8AB260CAD881}"/>
                    </c:ext>
                  </c:extLst>
                </c:dPt>
                <c:dPt>
                  <c:idx val="47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6D-873A-48A4-9C4D-8AB260CAD881}"/>
                    </c:ext>
                  </c:extLst>
                </c:dPt>
                <c:dPt>
                  <c:idx val="47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6F-873A-48A4-9C4D-8AB260CAD881}"/>
                    </c:ext>
                  </c:extLst>
                </c:dPt>
                <c:dPt>
                  <c:idx val="48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71-873A-48A4-9C4D-8AB260CAD881}"/>
                    </c:ext>
                  </c:extLst>
                </c:dPt>
                <c:dPt>
                  <c:idx val="48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73-873A-48A4-9C4D-8AB260CAD881}"/>
                    </c:ext>
                  </c:extLst>
                </c:dPt>
                <c:dPt>
                  <c:idx val="48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75-873A-48A4-9C4D-8AB260CAD881}"/>
                    </c:ext>
                  </c:extLst>
                </c:dPt>
                <c:dPt>
                  <c:idx val="48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77-873A-48A4-9C4D-8AB260CAD881}"/>
                    </c:ext>
                  </c:extLst>
                </c:dPt>
                <c:dPt>
                  <c:idx val="48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79-873A-48A4-9C4D-8AB260CAD881}"/>
                    </c:ext>
                  </c:extLst>
                </c:dPt>
                <c:dPt>
                  <c:idx val="48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7B-873A-48A4-9C4D-8AB260CAD881}"/>
                    </c:ext>
                  </c:extLst>
                </c:dPt>
                <c:dPt>
                  <c:idx val="48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7D-873A-48A4-9C4D-8AB260CAD881}"/>
                    </c:ext>
                  </c:extLst>
                </c:dPt>
                <c:dPt>
                  <c:idx val="48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7F-873A-48A4-9C4D-8AB260CAD881}"/>
                    </c:ext>
                  </c:extLst>
                </c:dPt>
                <c:dPt>
                  <c:idx val="48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81-873A-48A4-9C4D-8AB260CAD881}"/>
                    </c:ext>
                  </c:extLst>
                </c:dPt>
                <c:dPt>
                  <c:idx val="48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83-873A-48A4-9C4D-8AB260CAD881}"/>
                    </c:ext>
                  </c:extLst>
                </c:dPt>
                <c:dPt>
                  <c:idx val="49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85-873A-48A4-9C4D-8AB260CAD881}"/>
                    </c:ext>
                  </c:extLst>
                </c:dPt>
                <c:dPt>
                  <c:idx val="49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87-873A-48A4-9C4D-8AB260CAD881}"/>
                    </c:ext>
                  </c:extLst>
                </c:dPt>
                <c:dPt>
                  <c:idx val="49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89-873A-48A4-9C4D-8AB260CAD881}"/>
                    </c:ext>
                  </c:extLst>
                </c:dPt>
                <c:dPt>
                  <c:idx val="49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8B-873A-48A4-9C4D-8AB260CAD881}"/>
                    </c:ext>
                  </c:extLst>
                </c:dPt>
                <c:dPt>
                  <c:idx val="49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8D-873A-48A4-9C4D-8AB260CAD881}"/>
                    </c:ext>
                  </c:extLst>
                </c:dPt>
                <c:dPt>
                  <c:idx val="49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8F-873A-48A4-9C4D-8AB260CAD881}"/>
                    </c:ext>
                  </c:extLst>
                </c:dPt>
                <c:dPt>
                  <c:idx val="49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91-873A-48A4-9C4D-8AB260CAD881}"/>
                    </c:ext>
                  </c:extLst>
                </c:dPt>
                <c:dPt>
                  <c:idx val="49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93-873A-48A4-9C4D-8AB260CAD881}"/>
                    </c:ext>
                  </c:extLst>
                </c:dPt>
                <c:dPt>
                  <c:idx val="49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95-873A-48A4-9C4D-8AB260CAD881}"/>
                    </c:ext>
                  </c:extLst>
                </c:dPt>
                <c:dPt>
                  <c:idx val="49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97-873A-48A4-9C4D-8AB260CAD881}"/>
                    </c:ext>
                  </c:extLst>
                </c:dPt>
                <c:dPt>
                  <c:idx val="50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99-873A-48A4-9C4D-8AB260CAD881}"/>
                    </c:ext>
                  </c:extLst>
                </c:dPt>
                <c:dPt>
                  <c:idx val="50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9B-873A-48A4-9C4D-8AB260CAD881}"/>
                    </c:ext>
                  </c:extLst>
                </c:dPt>
                <c:dPt>
                  <c:idx val="50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9D-873A-48A4-9C4D-8AB260CAD881}"/>
                    </c:ext>
                  </c:extLst>
                </c:dPt>
                <c:dPt>
                  <c:idx val="50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9F-873A-48A4-9C4D-8AB260CAD881}"/>
                    </c:ext>
                  </c:extLst>
                </c:dPt>
                <c:dPt>
                  <c:idx val="50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A1-873A-48A4-9C4D-8AB260CAD881}"/>
                    </c:ext>
                  </c:extLst>
                </c:dPt>
                <c:dPt>
                  <c:idx val="50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A3-873A-48A4-9C4D-8AB260CAD881}"/>
                    </c:ext>
                  </c:extLst>
                </c:dPt>
                <c:dPt>
                  <c:idx val="50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A5-873A-48A4-9C4D-8AB260CAD881}"/>
                    </c:ext>
                  </c:extLst>
                </c:dPt>
                <c:dPt>
                  <c:idx val="50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A7-873A-48A4-9C4D-8AB260CAD881}"/>
                    </c:ext>
                  </c:extLst>
                </c:dPt>
                <c:dPt>
                  <c:idx val="50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A9-873A-48A4-9C4D-8AB260CAD881}"/>
                    </c:ext>
                  </c:extLst>
                </c:dPt>
                <c:dPt>
                  <c:idx val="50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AB-873A-48A4-9C4D-8AB260CAD881}"/>
                    </c:ext>
                  </c:extLst>
                </c:dPt>
                <c:dPt>
                  <c:idx val="51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AD-873A-48A4-9C4D-8AB260CAD881}"/>
                    </c:ext>
                  </c:extLst>
                </c:dPt>
                <c:dPt>
                  <c:idx val="51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AF-873A-48A4-9C4D-8AB260CAD881}"/>
                    </c:ext>
                  </c:extLst>
                </c:dPt>
                <c:dPt>
                  <c:idx val="51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B1-873A-48A4-9C4D-8AB260CAD881}"/>
                    </c:ext>
                  </c:extLst>
                </c:dPt>
                <c:dPt>
                  <c:idx val="51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B3-873A-48A4-9C4D-8AB260CAD881}"/>
                    </c:ext>
                  </c:extLst>
                </c:dPt>
                <c:dPt>
                  <c:idx val="51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B5-873A-48A4-9C4D-8AB260CAD881}"/>
                    </c:ext>
                  </c:extLst>
                </c:dPt>
                <c:dPt>
                  <c:idx val="51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B7-873A-48A4-9C4D-8AB260CAD881}"/>
                    </c:ext>
                  </c:extLst>
                </c:dPt>
                <c:dPt>
                  <c:idx val="51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B9-873A-48A4-9C4D-8AB260CAD881}"/>
                    </c:ext>
                  </c:extLst>
                </c:dPt>
                <c:dPt>
                  <c:idx val="51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BB-873A-48A4-9C4D-8AB260CAD881}"/>
                    </c:ext>
                  </c:extLst>
                </c:dPt>
                <c:dPt>
                  <c:idx val="51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BD-873A-48A4-9C4D-8AB260CAD881}"/>
                    </c:ext>
                  </c:extLst>
                </c:dPt>
                <c:dPt>
                  <c:idx val="51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BF-873A-48A4-9C4D-8AB260CAD881}"/>
                    </c:ext>
                  </c:extLst>
                </c:dPt>
                <c:dPt>
                  <c:idx val="52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C1-873A-48A4-9C4D-8AB260CAD881}"/>
                    </c:ext>
                  </c:extLst>
                </c:dPt>
                <c:dPt>
                  <c:idx val="52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C3-873A-48A4-9C4D-8AB260CAD881}"/>
                    </c:ext>
                  </c:extLst>
                </c:dPt>
                <c:dPt>
                  <c:idx val="52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C5-873A-48A4-9C4D-8AB260CAD881}"/>
                    </c:ext>
                  </c:extLst>
                </c:dPt>
                <c:dPt>
                  <c:idx val="52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C7-873A-48A4-9C4D-8AB260CAD881}"/>
                    </c:ext>
                  </c:extLst>
                </c:dPt>
                <c:dPt>
                  <c:idx val="52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C9-873A-48A4-9C4D-8AB260CAD881}"/>
                    </c:ext>
                  </c:extLst>
                </c:dPt>
                <c:dPt>
                  <c:idx val="52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CB-873A-48A4-9C4D-8AB260CAD881}"/>
                    </c:ext>
                  </c:extLst>
                </c:dPt>
                <c:dPt>
                  <c:idx val="52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CD-873A-48A4-9C4D-8AB260CAD881}"/>
                    </c:ext>
                  </c:extLst>
                </c:dPt>
                <c:dPt>
                  <c:idx val="52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CF-873A-48A4-9C4D-8AB260CAD881}"/>
                    </c:ext>
                  </c:extLst>
                </c:dPt>
                <c:dPt>
                  <c:idx val="52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D1-873A-48A4-9C4D-8AB260CAD881}"/>
                    </c:ext>
                  </c:extLst>
                </c:dPt>
                <c:dPt>
                  <c:idx val="52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D3-873A-48A4-9C4D-8AB260CAD881}"/>
                    </c:ext>
                  </c:extLst>
                </c:dPt>
                <c:dPt>
                  <c:idx val="53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D5-873A-48A4-9C4D-8AB260CAD881}"/>
                    </c:ext>
                  </c:extLst>
                </c:dPt>
                <c:dPt>
                  <c:idx val="53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D7-873A-48A4-9C4D-8AB260CAD881}"/>
                    </c:ext>
                  </c:extLst>
                </c:dPt>
                <c:dPt>
                  <c:idx val="53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D9-873A-48A4-9C4D-8AB260CAD881}"/>
                    </c:ext>
                  </c:extLst>
                </c:dPt>
                <c:dPt>
                  <c:idx val="53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DB-873A-48A4-9C4D-8AB260CAD881}"/>
                    </c:ext>
                  </c:extLst>
                </c:dPt>
                <c:dPt>
                  <c:idx val="53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DD-873A-48A4-9C4D-8AB260CAD881}"/>
                    </c:ext>
                  </c:extLst>
                </c:dPt>
                <c:dPt>
                  <c:idx val="53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DF-873A-48A4-9C4D-8AB260CAD881}"/>
                    </c:ext>
                  </c:extLst>
                </c:dPt>
                <c:dPt>
                  <c:idx val="53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E1-873A-48A4-9C4D-8AB260CAD881}"/>
                    </c:ext>
                  </c:extLst>
                </c:dPt>
                <c:dPt>
                  <c:idx val="53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E3-873A-48A4-9C4D-8AB260CAD881}"/>
                    </c:ext>
                  </c:extLst>
                </c:dPt>
                <c:dPt>
                  <c:idx val="53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E5-873A-48A4-9C4D-8AB260CAD881}"/>
                    </c:ext>
                  </c:extLst>
                </c:dPt>
                <c:dPt>
                  <c:idx val="53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E7-873A-48A4-9C4D-8AB260CAD881}"/>
                    </c:ext>
                  </c:extLst>
                </c:dPt>
                <c:dPt>
                  <c:idx val="54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E9-873A-48A4-9C4D-8AB260CAD881}"/>
                    </c:ext>
                  </c:extLst>
                </c:dPt>
                <c:dPt>
                  <c:idx val="54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EB-873A-48A4-9C4D-8AB260CAD881}"/>
                    </c:ext>
                  </c:extLst>
                </c:dPt>
                <c:dPt>
                  <c:idx val="54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ED-873A-48A4-9C4D-8AB260CAD881}"/>
                    </c:ext>
                  </c:extLst>
                </c:dPt>
                <c:dPt>
                  <c:idx val="54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EF-873A-48A4-9C4D-8AB260CAD881}"/>
                    </c:ext>
                  </c:extLst>
                </c:dPt>
                <c:dPt>
                  <c:idx val="54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F1-873A-48A4-9C4D-8AB260CAD881}"/>
                    </c:ext>
                  </c:extLst>
                </c:dPt>
                <c:dPt>
                  <c:idx val="54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F3-873A-48A4-9C4D-8AB260CAD881}"/>
                    </c:ext>
                  </c:extLst>
                </c:dPt>
                <c:dPt>
                  <c:idx val="54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F5-873A-48A4-9C4D-8AB260CAD881}"/>
                    </c:ext>
                  </c:extLst>
                </c:dPt>
                <c:dPt>
                  <c:idx val="54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F7-873A-48A4-9C4D-8AB260CAD881}"/>
                    </c:ext>
                  </c:extLst>
                </c:dPt>
                <c:dPt>
                  <c:idx val="54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F9-873A-48A4-9C4D-8AB260CAD881}"/>
                    </c:ext>
                  </c:extLst>
                </c:dPt>
                <c:dPt>
                  <c:idx val="54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FB-873A-48A4-9C4D-8AB260CAD881}"/>
                    </c:ext>
                  </c:extLst>
                </c:dPt>
                <c:dPt>
                  <c:idx val="55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FD-873A-48A4-9C4D-8AB260CAD881}"/>
                    </c:ext>
                  </c:extLst>
                </c:dPt>
                <c:dPt>
                  <c:idx val="55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FF-873A-48A4-9C4D-8AB260CAD881}"/>
                    </c:ext>
                  </c:extLst>
                </c:dPt>
                <c:dPt>
                  <c:idx val="55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01-873A-48A4-9C4D-8AB260CAD881}"/>
                    </c:ext>
                  </c:extLst>
                </c:dPt>
                <c:dPt>
                  <c:idx val="55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03-873A-48A4-9C4D-8AB260CAD881}"/>
                    </c:ext>
                  </c:extLst>
                </c:dPt>
                <c:dPt>
                  <c:idx val="55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05-873A-48A4-9C4D-8AB260CAD881}"/>
                    </c:ext>
                  </c:extLst>
                </c:dPt>
                <c:dPt>
                  <c:idx val="55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07-873A-48A4-9C4D-8AB260CAD881}"/>
                    </c:ext>
                  </c:extLst>
                </c:dPt>
                <c:dPt>
                  <c:idx val="55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09-873A-48A4-9C4D-8AB260CAD881}"/>
                    </c:ext>
                  </c:extLst>
                </c:dPt>
                <c:dPt>
                  <c:idx val="55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0B-873A-48A4-9C4D-8AB260CAD881}"/>
                    </c:ext>
                  </c:extLst>
                </c:dPt>
                <c:dPt>
                  <c:idx val="55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0D-873A-48A4-9C4D-8AB260CAD881}"/>
                    </c:ext>
                  </c:extLst>
                </c:dPt>
                <c:dPt>
                  <c:idx val="55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0F-873A-48A4-9C4D-8AB260CAD881}"/>
                    </c:ext>
                  </c:extLst>
                </c:dPt>
                <c:dPt>
                  <c:idx val="56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11-873A-48A4-9C4D-8AB260CAD881}"/>
                    </c:ext>
                  </c:extLst>
                </c:dPt>
                <c:dPt>
                  <c:idx val="56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13-873A-48A4-9C4D-8AB260CAD881}"/>
                    </c:ext>
                  </c:extLst>
                </c:dPt>
                <c:dPt>
                  <c:idx val="56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15-873A-48A4-9C4D-8AB260CAD881}"/>
                    </c:ext>
                  </c:extLst>
                </c:dPt>
                <c:dPt>
                  <c:idx val="56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17-873A-48A4-9C4D-8AB260CAD881}"/>
                    </c:ext>
                  </c:extLst>
                </c:dPt>
                <c:dPt>
                  <c:idx val="56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19-873A-48A4-9C4D-8AB260CAD881}"/>
                    </c:ext>
                  </c:extLst>
                </c:dPt>
                <c:dPt>
                  <c:idx val="56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1B-873A-48A4-9C4D-8AB260CAD881}"/>
                    </c:ext>
                  </c:extLst>
                </c:dPt>
                <c:dPt>
                  <c:idx val="56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1D-873A-48A4-9C4D-8AB260CAD881}"/>
                    </c:ext>
                  </c:extLst>
                </c:dPt>
                <c:dPt>
                  <c:idx val="56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1F-873A-48A4-9C4D-8AB260CAD881}"/>
                    </c:ext>
                  </c:extLst>
                </c:dPt>
                <c:dPt>
                  <c:idx val="56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21-873A-48A4-9C4D-8AB260CAD881}"/>
                    </c:ext>
                  </c:extLst>
                </c:dPt>
                <c:dPt>
                  <c:idx val="56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23-873A-48A4-9C4D-8AB260CAD881}"/>
                    </c:ext>
                  </c:extLst>
                </c:dPt>
                <c:dPt>
                  <c:idx val="57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25-873A-48A4-9C4D-8AB260CAD881}"/>
                    </c:ext>
                  </c:extLst>
                </c:dPt>
                <c:dPt>
                  <c:idx val="57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27-873A-48A4-9C4D-8AB260CAD881}"/>
                    </c:ext>
                  </c:extLst>
                </c:dPt>
                <c:dPt>
                  <c:idx val="57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29-873A-48A4-9C4D-8AB260CAD881}"/>
                    </c:ext>
                  </c:extLst>
                </c:dPt>
                <c:dPt>
                  <c:idx val="57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2B-873A-48A4-9C4D-8AB260CAD881}"/>
                    </c:ext>
                  </c:extLst>
                </c:dPt>
                <c:dPt>
                  <c:idx val="57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2D-873A-48A4-9C4D-8AB260CAD881}"/>
                    </c:ext>
                  </c:extLst>
                </c:dPt>
                <c:dPt>
                  <c:idx val="57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2F-873A-48A4-9C4D-8AB260CAD881}"/>
                    </c:ext>
                  </c:extLst>
                </c:dPt>
                <c:dPt>
                  <c:idx val="57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31-873A-48A4-9C4D-8AB260CAD881}"/>
                    </c:ext>
                  </c:extLst>
                </c:dPt>
                <c:dPt>
                  <c:idx val="57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33-873A-48A4-9C4D-8AB260CAD881}"/>
                    </c:ext>
                  </c:extLst>
                </c:dPt>
                <c:dPt>
                  <c:idx val="57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35-873A-48A4-9C4D-8AB260CAD881}"/>
                    </c:ext>
                  </c:extLst>
                </c:dPt>
                <c:dPt>
                  <c:idx val="57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37-873A-48A4-9C4D-8AB260CAD881}"/>
                    </c:ext>
                  </c:extLst>
                </c:dPt>
                <c:dPt>
                  <c:idx val="58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39-873A-48A4-9C4D-8AB260CAD881}"/>
                    </c:ext>
                  </c:extLst>
                </c:dPt>
                <c:dPt>
                  <c:idx val="58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3B-873A-48A4-9C4D-8AB260CAD881}"/>
                    </c:ext>
                  </c:extLst>
                </c:dPt>
                <c:dPt>
                  <c:idx val="58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3D-873A-48A4-9C4D-8AB260CAD881}"/>
                    </c:ext>
                  </c:extLst>
                </c:dPt>
                <c:dPt>
                  <c:idx val="58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3F-873A-48A4-9C4D-8AB260CAD881}"/>
                    </c:ext>
                  </c:extLst>
                </c:dPt>
                <c:dPt>
                  <c:idx val="58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41-873A-48A4-9C4D-8AB260CAD881}"/>
                    </c:ext>
                  </c:extLst>
                </c:dPt>
                <c:dPt>
                  <c:idx val="58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43-873A-48A4-9C4D-8AB260CAD881}"/>
                    </c:ext>
                  </c:extLst>
                </c:dPt>
                <c:dPt>
                  <c:idx val="58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45-873A-48A4-9C4D-8AB260CAD881}"/>
                    </c:ext>
                  </c:extLst>
                </c:dPt>
                <c:dPt>
                  <c:idx val="58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47-873A-48A4-9C4D-8AB260CAD881}"/>
                    </c:ext>
                  </c:extLst>
                </c:dPt>
                <c:dPt>
                  <c:idx val="58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49-873A-48A4-9C4D-8AB260CAD881}"/>
                    </c:ext>
                  </c:extLst>
                </c:dPt>
                <c:dPt>
                  <c:idx val="58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4B-873A-48A4-9C4D-8AB260CAD881}"/>
                    </c:ext>
                  </c:extLst>
                </c:dPt>
                <c:dPt>
                  <c:idx val="59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4D-873A-48A4-9C4D-8AB260CAD881}"/>
                    </c:ext>
                  </c:extLst>
                </c:dPt>
                <c:dPt>
                  <c:idx val="59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4F-873A-48A4-9C4D-8AB260CAD881}"/>
                    </c:ext>
                  </c:extLst>
                </c:dPt>
                <c:dPt>
                  <c:idx val="59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51-873A-48A4-9C4D-8AB260CAD881}"/>
                    </c:ext>
                  </c:extLst>
                </c:dPt>
                <c:dPt>
                  <c:idx val="59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53-873A-48A4-9C4D-8AB260CAD881}"/>
                    </c:ext>
                  </c:extLst>
                </c:dPt>
                <c:dPt>
                  <c:idx val="59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55-873A-48A4-9C4D-8AB260CAD881}"/>
                    </c:ext>
                  </c:extLst>
                </c:dPt>
                <c:dPt>
                  <c:idx val="59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57-873A-48A4-9C4D-8AB260CAD881}"/>
                    </c:ext>
                  </c:extLst>
                </c:dPt>
                <c:dPt>
                  <c:idx val="59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59-873A-48A4-9C4D-8AB260CAD881}"/>
                    </c:ext>
                  </c:extLst>
                </c:dPt>
                <c:dPt>
                  <c:idx val="59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5B-873A-48A4-9C4D-8AB260CAD881}"/>
                    </c:ext>
                  </c:extLst>
                </c:dPt>
                <c:dPt>
                  <c:idx val="59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5D-873A-48A4-9C4D-8AB260CAD881}"/>
                    </c:ext>
                  </c:extLst>
                </c:dPt>
                <c:dPt>
                  <c:idx val="59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5F-873A-48A4-9C4D-8AB260CAD881}"/>
                    </c:ext>
                  </c:extLst>
                </c:dPt>
                <c:dPt>
                  <c:idx val="60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61-873A-48A4-9C4D-8AB260CAD881}"/>
                    </c:ext>
                  </c:extLst>
                </c:dPt>
                <c:dPt>
                  <c:idx val="60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63-873A-48A4-9C4D-8AB260CAD881}"/>
                    </c:ext>
                  </c:extLst>
                </c:dPt>
                <c:dPt>
                  <c:idx val="60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65-873A-48A4-9C4D-8AB260CAD881}"/>
                    </c:ext>
                  </c:extLst>
                </c:dPt>
                <c:dPt>
                  <c:idx val="60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67-873A-48A4-9C4D-8AB260CAD881}"/>
                    </c:ext>
                  </c:extLst>
                </c:dPt>
                <c:dPt>
                  <c:idx val="60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69-873A-48A4-9C4D-8AB260CAD881}"/>
                    </c:ext>
                  </c:extLst>
                </c:dPt>
                <c:dPt>
                  <c:idx val="60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6B-873A-48A4-9C4D-8AB260CAD881}"/>
                    </c:ext>
                  </c:extLst>
                </c:dPt>
                <c:dPt>
                  <c:idx val="60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6D-873A-48A4-9C4D-8AB260CAD881}"/>
                    </c:ext>
                  </c:extLst>
                </c:dPt>
                <c:dPt>
                  <c:idx val="60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6F-873A-48A4-9C4D-8AB260CAD881}"/>
                    </c:ext>
                  </c:extLst>
                </c:dPt>
                <c:dPt>
                  <c:idx val="60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71-873A-48A4-9C4D-8AB260CAD881}"/>
                    </c:ext>
                  </c:extLst>
                </c:dPt>
                <c:dPt>
                  <c:idx val="60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73-873A-48A4-9C4D-8AB260CAD881}"/>
                    </c:ext>
                  </c:extLst>
                </c:dPt>
                <c:dPt>
                  <c:idx val="61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75-873A-48A4-9C4D-8AB260CAD881}"/>
                    </c:ext>
                  </c:extLst>
                </c:dPt>
                <c:dPt>
                  <c:idx val="61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77-873A-48A4-9C4D-8AB260CAD881}"/>
                    </c:ext>
                  </c:extLst>
                </c:dPt>
                <c:dPt>
                  <c:idx val="61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79-873A-48A4-9C4D-8AB260CAD881}"/>
                    </c:ext>
                  </c:extLst>
                </c:dPt>
                <c:dPt>
                  <c:idx val="61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7B-873A-48A4-9C4D-8AB260CAD881}"/>
                    </c:ext>
                  </c:extLst>
                </c:dPt>
                <c:dPt>
                  <c:idx val="61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7D-873A-48A4-9C4D-8AB260CAD881}"/>
                    </c:ext>
                  </c:extLst>
                </c:dPt>
                <c:dPt>
                  <c:idx val="61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7F-873A-48A4-9C4D-8AB260CAD881}"/>
                    </c:ext>
                  </c:extLst>
                </c:dPt>
                <c:dPt>
                  <c:idx val="61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81-873A-48A4-9C4D-8AB260CAD881}"/>
                    </c:ext>
                  </c:extLst>
                </c:dPt>
                <c:dPt>
                  <c:idx val="61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83-873A-48A4-9C4D-8AB260CAD881}"/>
                    </c:ext>
                  </c:extLst>
                </c:dPt>
                <c:dPt>
                  <c:idx val="61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85-873A-48A4-9C4D-8AB260CAD881}"/>
                    </c:ext>
                  </c:extLst>
                </c:dPt>
                <c:dPt>
                  <c:idx val="61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87-873A-48A4-9C4D-8AB260CAD881}"/>
                    </c:ext>
                  </c:extLst>
                </c:dPt>
                <c:dPt>
                  <c:idx val="62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89-873A-48A4-9C4D-8AB260CAD881}"/>
                    </c:ext>
                  </c:extLst>
                </c:dPt>
                <c:dPt>
                  <c:idx val="62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8B-873A-48A4-9C4D-8AB260CAD881}"/>
                    </c:ext>
                  </c:extLst>
                </c:dPt>
                <c:dPt>
                  <c:idx val="62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8D-873A-48A4-9C4D-8AB260CAD881}"/>
                    </c:ext>
                  </c:extLst>
                </c:dPt>
                <c:dPt>
                  <c:idx val="62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8F-873A-48A4-9C4D-8AB260CAD881}"/>
                    </c:ext>
                  </c:extLst>
                </c:dPt>
                <c:dPt>
                  <c:idx val="62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91-873A-48A4-9C4D-8AB260CAD881}"/>
                    </c:ext>
                  </c:extLst>
                </c:dPt>
                <c:dPt>
                  <c:idx val="62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93-873A-48A4-9C4D-8AB260CAD881}"/>
                    </c:ext>
                  </c:extLst>
                </c:dPt>
                <c:dPt>
                  <c:idx val="62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95-873A-48A4-9C4D-8AB260CAD881}"/>
                    </c:ext>
                  </c:extLst>
                </c:dPt>
                <c:dPt>
                  <c:idx val="62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97-873A-48A4-9C4D-8AB260CAD881}"/>
                    </c:ext>
                  </c:extLst>
                </c:dPt>
                <c:dPt>
                  <c:idx val="62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99-873A-48A4-9C4D-8AB260CAD881}"/>
                    </c:ext>
                  </c:extLst>
                </c:dPt>
                <c:dPt>
                  <c:idx val="62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9B-873A-48A4-9C4D-8AB260CAD881}"/>
                    </c:ext>
                  </c:extLst>
                </c:dPt>
                <c:dPt>
                  <c:idx val="63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9D-873A-48A4-9C4D-8AB260CAD881}"/>
                    </c:ext>
                  </c:extLst>
                </c:dPt>
                <c:dPt>
                  <c:idx val="63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9F-873A-48A4-9C4D-8AB260CAD881}"/>
                    </c:ext>
                  </c:extLst>
                </c:dPt>
                <c:dPt>
                  <c:idx val="63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A1-873A-48A4-9C4D-8AB260CAD881}"/>
                    </c:ext>
                  </c:extLst>
                </c:dPt>
                <c:dPt>
                  <c:idx val="63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A3-873A-48A4-9C4D-8AB260CAD881}"/>
                    </c:ext>
                  </c:extLst>
                </c:dPt>
                <c:dPt>
                  <c:idx val="63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A5-873A-48A4-9C4D-8AB260CAD881}"/>
                    </c:ext>
                  </c:extLst>
                </c:dPt>
                <c:dPt>
                  <c:idx val="63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A7-873A-48A4-9C4D-8AB260CAD881}"/>
                    </c:ext>
                  </c:extLst>
                </c:dPt>
                <c:dPt>
                  <c:idx val="63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A9-873A-48A4-9C4D-8AB260CAD881}"/>
                    </c:ext>
                  </c:extLst>
                </c:dPt>
                <c:dPt>
                  <c:idx val="63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AB-873A-48A4-9C4D-8AB260CAD881}"/>
                    </c:ext>
                  </c:extLst>
                </c:dPt>
                <c:dPt>
                  <c:idx val="63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AD-873A-48A4-9C4D-8AB260CAD881}"/>
                    </c:ext>
                  </c:extLst>
                </c:dPt>
                <c:dPt>
                  <c:idx val="63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AF-873A-48A4-9C4D-8AB260CAD881}"/>
                    </c:ext>
                  </c:extLst>
                </c:dPt>
                <c:dPt>
                  <c:idx val="64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B1-873A-48A4-9C4D-8AB260CAD881}"/>
                    </c:ext>
                  </c:extLst>
                </c:dPt>
                <c:dPt>
                  <c:idx val="64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B3-873A-48A4-9C4D-8AB260CAD881}"/>
                    </c:ext>
                  </c:extLst>
                </c:dPt>
                <c:dPt>
                  <c:idx val="64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B5-873A-48A4-9C4D-8AB260CAD881}"/>
                    </c:ext>
                  </c:extLst>
                </c:dPt>
                <c:dPt>
                  <c:idx val="64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B7-873A-48A4-9C4D-8AB260CAD881}"/>
                    </c:ext>
                  </c:extLst>
                </c:dPt>
                <c:dPt>
                  <c:idx val="64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B9-873A-48A4-9C4D-8AB260CAD881}"/>
                    </c:ext>
                  </c:extLst>
                </c:dPt>
                <c:dPt>
                  <c:idx val="64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BB-873A-48A4-9C4D-8AB260CAD881}"/>
                    </c:ext>
                  </c:extLst>
                </c:dPt>
                <c:dPt>
                  <c:idx val="64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BD-873A-48A4-9C4D-8AB260CAD881}"/>
                    </c:ext>
                  </c:extLst>
                </c:dPt>
                <c:dPt>
                  <c:idx val="64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BF-873A-48A4-9C4D-8AB260CAD881}"/>
                    </c:ext>
                  </c:extLst>
                </c:dPt>
                <c:dPt>
                  <c:idx val="64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C1-873A-48A4-9C4D-8AB260CAD881}"/>
                    </c:ext>
                  </c:extLst>
                </c:dPt>
                <c:dPt>
                  <c:idx val="64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C3-873A-48A4-9C4D-8AB260CAD881}"/>
                    </c:ext>
                  </c:extLst>
                </c:dPt>
                <c:dPt>
                  <c:idx val="65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C5-873A-48A4-9C4D-8AB260CAD881}"/>
                    </c:ext>
                  </c:extLst>
                </c:dPt>
                <c:dPt>
                  <c:idx val="65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C7-873A-48A4-9C4D-8AB260CAD881}"/>
                    </c:ext>
                  </c:extLst>
                </c:dPt>
                <c:dPt>
                  <c:idx val="65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C9-873A-48A4-9C4D-8AB260CAD881}"/>
                    </c:ext>
                  </c:extLst>
                </c:dPt>
                <c:dPt>
                  <c:idx val="65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CB-873A-48A4-9C4D-8AB260CAD881}"/>
                    </c:ext>
                  </c:extLst>
                </c:dPt>
                <c:dPt>
                  <c:idx val="65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CD-873A-48A4-9C4D-8AB260CAD881}"/>
                    </c:ext>
                  </c:extLst>
                </c:dPt>
                <c:dPt>
                  <c:idx val="65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CF-873A-48A4-9C4D-8AB260CAD881}"/>
                    </c:ext>
                  </c:extLst>
                </c:dPt>
                <c:dPt>
                  <c:idx val="65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D1-873A-48A4-9C4D-8AB260CAD881}"/>
                    </c:ext>
                  </c:extLst>
                </c:dPt>
                <c:dPt>
                  <c:idx val="65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D3-873A-48A4-9C4D-8AB260CAD881}"/>
                    </c:ext>
                  </c:extLst>
                </c:dPt>
                <c:dPt>
                  <c:idx val="65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D5-873A-48A4-9C4D-8AB260CAD881}"/>
                    </c:ext>
                  </c:extLst>
                </c:dPt>
                <c:dPt>
                  <c:idx val="65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D7-873A-48A4-9C4D-8AB260CAD881}"/>
                    </c:ext>
                  </c:extLst>
                </c:dPt>
                <c:dPt>
                  <c:idx val="66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D9-873A-48A4-9C4D-8AB260CAD881}"/>
                    </c:ext>
                  </c:extLst>
                </c:dPt>
                <c:dPt>
                  <c:idx val="66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DB-873A-48A4-9C4D-8AB260CAD881}"/>
                    </c:ext>
                  </c:extLst>
                </c:dPt>
                <c:dPt>
                  <c:idx val="66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DD-873A-48A4-9C4D-8AB260CAD881}"/>
                    </c:ext>
                  </c:extLst>
                </c:dPt>
                <c:dPt>
                  <c:idx val="66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DF-873A-48A4-9C4D-8AB260CAD881}"/>
                    </c:ext>
                  </c:extLst>
                </c:dPt>
                <c:dPt>
                  <c:idx val="66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E1-873A-48A4-9C4D-8AB260CAD881}"/>
                    </c:ext>
                  </c:extLst>
                </c:dPt>
                <c:dPt>
                  <c:idx val="66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E3-873A-48A4-9C4D-8AB260CAD881}"/>
                    </c:ext>
                  </c:extLst>
                </c:dPt>
                <c:dPt>
                  <c:idx val="66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E5-873A-48A4-9C4D-8AB260CAD881}"/>
                    </c:ext>
                  </c:extLst>
                </c:dPt>
                <c:dPt>
                  <c:idx val="66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E7-873A-48A4-9C4D-8AB260CAD881}"/>
                    </c:ext>
                  </c:extLst>
                </c:dPt>
                <c:dPt>
                  <c:idx val="66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E9-873A-48A4-9C4D-8AB260CAD881}"/>
                    </c:ext>
                  </c:extLst>
                </c:dPt>
                <c:dPt>
                  <c:idx val="66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EB-873A-48A4-9C4D-8AB260CAD881}"/>
                    </c:ext>
                  </c:extLst>
                </c:dPt>
                <c:dPt>
                  <c:idx val="67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ED-873A-48A4-9C4D-8AB260CAD881}"/>
                    </c:ext>
                  </c:extLst>
                </c:dPt>
                <c:dPt>
                  <c:idx val="67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EF-873A-48A4-9C4D-8AB260CAD881}"/>
                    </c:ext>
                  </c:extLst>
                </c:dPt>
                <c:dPt>
                  <c:idx val="67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F1-873A-48A4-9C4D-8AB260CAD881}"/>
                    </c:ext>
                  </c:extLst>
                </c:dPt>
                <c:dPt>
                  <c:idx val="67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F3-873A-48A4-9C4D-8AB260CAD881}"/>
                    </c:ext>
                  </c:extLst>
                </c:dPt>
                <c:dPt>
                  <c:idx val="67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F5-873A-48A4-9C4D-8AB260CAD881}"/>
                    </c:ext>
                  </c:extLst>
                </c:dPt>
                <c:dPt>
                  <c:idx val="67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F7-873A-48A4-9C4D-8AB260CAD881}"/>
                    </c:ext>
                  </c:extLst>
                </c:dPt>
                <c:dPt>
                  <c:idx val="67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F9-873A-48A4-9C4D-8AB260CAD881}"/>
                    </c:ext>
                  </c:extLst>
                </c:dPt>
                <c:dPt>
                  <c:idx val="67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FB-873A-48A4-9C4D-8AB260CAD881}"/>
                    </c:ext>
                  </c:extLst>
                </c:dPt>
                <c:dPt>
                  <c:idx val="67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FD-873A-48A4-9C4D-8AB260CAD881}"/>
                    </c:ext>
                  </c:extLst>
                </c:dPt>
                <c:dPt>
                  <c:idx val="67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FF-873A-48A4-9C4D-8AB260CAD881}"/>
                    </c:ext>
                  </c:extLst>
                </c:dPt>
                <c:dPt>
                  <c:idx val="68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01-873A-48A4-9C4D-8AB260CAD881}"/>
                    </c:ext>
                  </c:extLst>
                </c:dPt>
                <c:dPt>
                  <c:idx val="68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03-873A-48A4-9C4D-8AB260CAD881}"/>
                    </c:ext>
                  </c:extLst>
                </c:dPt>
                <c:dPt>
                  <c:idx val="68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05-873A-48A4-9C4D-8AB260CAD881}"/>
                    </c:ext>
                  </c:extLst>
                </c:dPt>
                <c:dPt>
                  <c:idx val="68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07-873A-48A4-9C4D-8AB260CAD881}"/>
                    </c:ext>
                  </c:extLst>
                </c:dPt>
                <c:dPt>
                  <c:idx val="68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09-873A-48A4-9C4D-8AB260CAD881}"/>
                    </c:ext>
                  </c:extLst>
                </c:dPt>
                <c:dPt>
                  <c:idx val="68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0B-873A-48A4-9C4D-8AB260CAD881}"/>
                    </c:ext>
                  </c:extLst>
                </c:dPt>
                <c:dPt>
                  <c:idx val="68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0D-873A-48A4-9C4D-8AB260CAD881}"/>
                    </c:ext>
                  </c:extLst>
                </c:dPt>
                <c:dPt>
                  <c:idx val="68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0F-873A-48A4-9C4D-8AB260CAD881}"/>
                    </c:ext>
                  </c:extLst>
                </c:dPt>
                <c:dPt>
                  <c:idx val="68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11-873A-48A4-9C4D-8AB260CAD881}"/>
                    </c:ext>
                  </c:extLst>
                </c:dPt>
                <c:dPt>
                  <c:idx val="68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13-873A-48A4-9C4D-8AB260CAD881}"/>
                    </c:ext>
                  </c:extLst>
                </c:dPt>
                <c:dPt>
                  <c:idx val="69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15-873A-48A4-9C4D-8AB260CAD881}"/>
                    </c:ext>
                  </c:extLst>
                </c:dPt>
                <c:dPt>
                  <c:idx val="69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17-873A-48A4-9C4D-8AB260CAD881}"/>
                    </c:ext>
                  </c:extLst>
                </c:dPt>
                <c:dPt>
                  <c:idx val="69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19-873A-48A4-9C4D-8AB260CAD881}"/>
                    </c:ext>
                  </c:extLst>
                </c:dPt>
                <c:dPt>
                  <c:idx val="69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1B-873A-48A4-9C4D-8AB260CAD881}"/>
                    </c:ext>
                  </c:extLst>
                </c:dPt>
                <c:dPt>
                  <c:idx val="69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1D-873A-48A4-9C4D-8AB260CAD881}"/>
                    </c:ext>
                  </c:extLst>
                </c:dPt>
                <c:dPt>
                  <c:idx val="69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1F-873A-48A4-9C4D-8AB260CAD881}"/>
                    </c:ext>
                  </c:extLst>
                </c:dPt>
                <c:dPt>
                  <c:idx val="69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21-873A-48A4-9C4D-8AB260CAD881}"/>
                    </c:ext>
                  </c:extLst>
                </c:dPt>
                <c:dPt>
                  <c:idx val="69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23-873A-48A4-9C4D-8AB260CAD881}"/>
                    </c:ext>
                  </c:extLst>
                </c:dPt>
                <c:dPt>
                  <c:idx val="69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25-873A-48A4-9C4D-8AB260CAD881}"/>
                    </c:ext>
                  </c:extLst>
                </c:dPt>
                <c:dPt>
                  <c:idx val="69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27-873A-48A4-9C4D-8AB260CAD881}"/>
                    </c:ext>
                  </c:extLst>
                </c:dPt>
                <c:dPt>
                  <c:idx val="70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29-873A-48A4-9C4D-8AB260CAD881}"/>
                    </c:ext>
                  </c:extLst>
                </c:dPt>
                <c:dPt>
                  <c:idx val="70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2B-873A-48A4-9C4D-8AB260CAD881}"/>
                    </c:ext>
                  </c:extLst>
                </c:dPt>
                <c:dPt>
                  <c:idx val="70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2D-873A-48A4-9C4D-8AB260CAD881}"/>
                    </c:ext>
                  </c:extLst>
                </c:dPt>
                <c:dPt>
                  <c:idx val="70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2F-873A-48A4-9C4D-8AB260CAD881}"/>
                    </c:ext>
                  </c:extLst>
                </c:dPt>
                <c:dPt>
                  <c:idx val="70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31-873A-48A4-9C4D-8AB260CAD881}"/>
                    </c:ext>
                  </c:extLst>
                </c:dPt>
                <c:dPt>
                  <c:idx val="70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33-873A-48A4-9C4D-8AB260CAD881}"/>
                    </c:ext>
                  </c:extLst>
                </c:dPt>
                <c:dPt>
                  <c:idx val="70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35-873A-48A4-9C4D-8AB260CAD881}"/>
                    </c:ext>
                  </c:extLst>
                </c:dPt>
                <c:dPt>
                  <c:idx val="70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37-873A-48A4-9C4D-8AB260CAD881}"/>
                    </c:ext>
                  </c:extLst>
                </c:dPt>
                <c:dPt>
                  <c:idx val="70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39-873A-48A4-9C4D-8AB260CAD881}"/>
                    </c:ext>
                  </c:extLst>
                </c:dPt>
                <c:dPt>
                  <c:idx val="70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3B-873A-48A4-9C4D-8AB260CAD881}"/>
                    </c:ext>
                  </c:extLst>
                </c:dPt>
                <c:dPt>
                  <c:idx val="71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3D-873A-48A4-9C4D-8AB260CAD881}"/>
                    </c:ext>
                  </c:extLst>
                </c:dPt>
                <c:dPt>
                  <c:idx val="71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3F-873A-48A4-9C4D-8AB260CAD881}"/>
                    </c:ext>
                  </c:extLst>
                </c:dPt>
                <c:dPt>
                  <c:idx val="71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41-873A-48A4-9C4D-8AB260CAD881}"/>
                    </c:ext>
                  </c:extLst>
                </c:dPt>
                <c:dPt>
                  <c:idx val="71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43-873A-48A4-9C4D-8AB260CAD881}"/>
                    </c:ext>
                  </c:extLst>
                </c:dPt>
                <c:dPt>
                  <c:idx val="71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45-873A-48A4-9C4D-8AB260CAD881}"/>
                    </c:ext>
                  </c:extLst>
                </c:dPt>
                <c:dPt>
                  <c:idx val="71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47-873A-48A4-9C4D-8AB260CAD881}"/>
                    </c:ext>
                  </c:extLst>
                </c:dPt>
                <c:dPt>
                  <c:idx val="71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49-873A-48A4-9C4D-8AB260CAD881}"/>
                    </c:ext>
                  </c:extLst>
                </c:dPt>
                <c:dPt>
                  <c:idx val="71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4B-873A-48A4-9C4D-8AB260CAD881}"/>
                    </c:ext>
                  </c:extLst>
                </c:dPt>
                <c:dPt>
                  <c:idx val="71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4D-873A-48A4-9C4D-8AB260CAD881}"/>
                    </c:ext>
                  </c:extLst>
                </c:dPt>
                <c:dPt>
                  <c:idx val="71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4F-873A-48A4-9C4D-8AB260CAD881}"/>
                    </c:ext>
                  </c:extLst>
                </c:dPt>
                <c:dPt>
                  <c:idx val="72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51-873A-48A4-9C4D-8AB260CAD881}"/>
                    </c:ext>
                  </c:extLst>
                </c:dPt>
                <c:dPt>
                  <c:idx val="72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53-873A-48A4-9C4D-8AB260CAD881}"/>
                    </c:ext>
                  </c:extLst>
                </c:dPt>
                <c:dPt>
                  <c:idx val="72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55-873A-48A4-9C4D-8AB260CAD881}"/>
                    </c:ext>
                  </c:extLst>
                </c:dPt>
                <c:dPt>
                  <c:idx val="72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57-873A-48A4-9C4D-8AB260CAD881}"/>
                    </c:ext>
                  </c:extLst>
                </c:dPt>
                <c:dPt>
                  <c:idx val="72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59-873A-48A4-9C4D-8AB260CAD881}"/>
                    </c:ext>
                  </c:extLst>
                </c:dPt>
                <c:dPt>
                  <c:idx val="72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5B-873A-48A4-9C4D-8AB260CAD881}"/>
                    </c:ext>
                  </c:extLst>
                </c:dPt>
                <c:dPt>
                  <c:idx val="72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5D-873A-48A4-9C4D-8AB260CAD881}"/>
                    </c:ext>
                  </c:extLst>
                </c:dPt>
                <c:dPt>
                  <c:idx val="72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5F-873A-48A4-9C4D-8AB260CAD881}"/>
                    </c:ext>
                  </c:extLst>
                </c:dPt>
                <c:dPt>
                  <c:idx val="72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61-873A-48A4-9C4D-8AB260CAD881}"/>
                    </c:ext>
                  </c:extLst>
                </c:dPt>
                <c:dPt>
                  <c:idx val="72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63-873A-48A4-9C4D-8AB260CAD881}"/>
                    </c:ext>
                  </c:extLst>
                </c:dPt>
                <c:dPt>
                  <c:idx val="73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65-873A-48A4-9C4D-8AB260CAD881}"/>
                    </c:ext>
                  </c:extLst>
                </c:dPt>
                <c:dPt>
                  <c:idx val="73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67-873A-48A4-9C4D-8AB260CAD881}"/>
                    </c:ext>
                  </c:extLst>
                </c:dPt>
                <c:dPt>
                  <c:idx val="73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69-873A-48A4-9C4D-8AB260CAD881}"/>
                    </c:ext>
                  </c:extLst>
                </c:dPt>
                <c:dPt>
                  <c:idx val="73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6B-873A-48A4-9C4D-8AB260CAD881}"/>
                    </c:ext>
                  </c:extLst>
                </c:dPt>
                <c:dPt>
                  <c:idx val="73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6D-873A-48A4-9C4D-8AB260CAD881}"/>
                    </c:ext>
                  </c:extLst>
                </c:dPt>
                <c:dPt>
                  <c:idx val="73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6F-873A-48A4-9C4D-8AB260CAD881}"/>
                    </c:ext>
                  </c:extLst>
                </c:dPt>
                <c:dPt>
                  <c:idx val="73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71-873A-48A4-9C4D-8AB260CAD881}"/>
                    </c:ext>
                  </c:extLst>
                </c:dPt>
                <c:dPt>
                  <c:idx val="73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73-873A-48A4-9C4D-8AB260CAD881}"/>
                    </c:ext>
                  </c:extLst>
                </c:dPt>
                <c:dPt>
                  <c:idx val="73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75-873A-48A4-9C4D-8AB260CAD881}"/>
                    </c:ext>
                  </c:extLst>
                </c:dPt>
                <c:dPt>
                  <c:idx val="73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77-873A-48A4-9C4D-8AB260CAD881}"/>
                    </c:ext>
                  </c:extLst>
                </c:dPt>
                <c:dPt>
                  <c:idx val="74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79-873A-48A4-9C4D-8AB260CAD881}"/>
                    </c:ext>
                  </c:extLst>
                </c:dPt>
                <c:dPt>
                  <c:idx val="74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7B-873A-48A4-9C4D-8AB260CAD881}"/>
                    </c:ext>
                  </c:extLst>
                </c:dPt>
                <c:dPt>
                  <c:idx val="74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7D-873A-48A4-9C4D-8AB260CAD881}"/>
                    </c:ext>
                  </c:extLst>
                </c:dPt>
                <c:dPt>
                  <c:idx val="74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7F-873A-48A4-9C4D-8AB260CAD881}"/>
                    </c:ext>
                  </c:extLst>
                </c:dPt>
                <c:dPt>
                  <c:idx val="74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81-873A-48A4-9C4D-8AB260CAD881}"/>
                    </c:ext>
                  </c:extLst>
                </c:dPt>
                <c:dPt>
                  <c:idx val="74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83-873A-48A4-9C4D-8AB260CAD881}"/>
                    </c:ext>
                  </c:extLst>
                </c:dPt>
                <c:dPt>
                  <c:idx val="74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85-873A-48A4-9C4D-8AB260CAD881}"/>
                    </c:ext>
                  </c:extLst>
                </c:dPt>
                <c:dPt>
                  <c:idx val="74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87-873A-48A4-9C4D-8AB260CAD881}"/>
                    </c:ext>
                  </c:extLst>
                </c:dPt>
                <c:dPt>
                  <c:idx val="74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89-873A-48A4-9C4D-8AB260CAD881}"/>
                    </c:ext>
                  </c:extLst>
                </c:dPt>
                <c:dPt>
                  <c:idx val="74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8B-873A-48A4-9C4D-8AB260CAD881}"/>
                    </c:ext>
                  </c:extLst>
                </c:dPt>
                <c:dPt>
                  <c:idx val="75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8D-873A-48A4-9C4D-8AB260CAD881}"/>
                    </c:ext>
                  </c:extLst>
                </c:dPt>
                <c:dPt>
                  <c:idx val="75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8F-873A-48A4-9C4D-8AB260CAD881}"/>
                    </c:ext>
                  </c:extLst>
                </c:dPt>
                <c:dPt>
                  <c:idx val="75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91-873A-48A4-9C4D-8AB260CAD881}"/>
                    </c:ext>
                  </c:extLst>
                </c:dPt>
                <c:dPt>
                  <c:idx val="75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93-873A-48A4-9C4D-8AB260CAD881}"/>
                    </c:ext>
                  </c:extLst>
                </c:dPt>
                <c:dPt>
                  <c:idx val="75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95-873A-48A4-9C4D-8AB260CAD881}"/>
                    </c:ext>
                  </c:extLst>
                </c:dPt>
                <c:dPt>
                  <c:idx val="75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97-873A-48A4-9C4D-8AB260CAD881}"/>
                    </c:ext>
                  </c:extLst>
                </c:dPt>
                <c:dPt>
                  <c:idx val="75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99-873A-48A4-9C4D-8AB260CAD881}"/>
                    </c:ext>
                  </c:extLst>
                </c:dPt>
                <c:dPt>
                  <c:idx val="75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9B-873A-48A4-9C4D-8AB260CAD881}"/>
                    </c:ext>
                  </c:extLst>
                </c:dPt>
                <c:dPt>
                  <c:idx val="75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9D-873A-48A4-9C4D-8AB260CAD881}"/>
                    </c:ext>
                  </c:extLst>
                </c:dPt>
                <c:dPt>
                  <c:idx val="75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9F-873A-48A4-9C4D-8AB260CAD881}"/>
                    </c:ext>
                  </c:extLst>
                </c:dPt>
                <c:dPt>
                  <c:idx val="76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A1-873A-48A4-9C4D-8AB260CAD881}"/>
                    </c:ext>
                  </c:extLst>
                </c:dPt>
                <c:dPt>
                  <c:idx val="76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A3-873A-48A4-9C4D-8AB260CAD881}"/>
                    </c:ext>
                  </c:extLst>
                </c:dPt>
                <c:dPt>
                  <c:idx val="76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A5-873A-48A4-9C4D-8AB260CAD881}"/>
                    </c:ext>
                  </c:extLst>
                </c:dPt>
                <c:dPt>
                  <c:idx val="76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A7-873A-48A4-9C4D-8AB260CAD881}"/>
                    </c:ext>
                  </c:extLst>
                </c:dPt>
                <c:dPt>
                  <c:idx val="76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A9-873A-48A4-9C4D-8AB260CAD881}"/>
                    </c:ext>
                  </c:extLst>
                </c:dPt>
                <c:dPt>
                  <c:idx val="76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AB-873A-48A4-9C4D-8AB260CAD881}"/>
                    </c:ext>
                  </c:extLst>
                </c:dPt>
                <c:dPt>
                  <c:idx val="76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AD-873A-48A4-9C4D-8AB260CAD881}"/>
                    </c:ext>
                  </c:extLst>
                </c:dPt>
                <c:dPt>
                  <c:idx val="76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AF-873A-48A4-9C4D-8AB260CAD881}"/>
                    </c:ext>
                  </c:extLst>
                </c:dPt>
                <c:dPt>
                  <c:idx val="76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B1-873A-48A4-9C4D-8AB260CAD881}"/>
                    </c:ext>
                  </c:extLst>
                </c:dPt>
                <c:dPt>
                  <c:idx val="76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B3-873A-48A4-9C4D-8AB260CAD881}"/>
                    </c:ext>
                  </c:extLst>
                </c:dPt>
                <c:dPt>
                  <c:idx val="77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B5-873A-48A4-9C4D-8AB260CAD881}"/>
                    </c:ext>
                  </c:extLst>
                </c:dPt>
                <c:dPt>
                  <c:idx val="77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B7-873A-48A4-9C4D-8AB260CAD881}"/>
                    </c:ext>
                  </c:extLst>
                </c:dPt>
                <c:dPt>
                  <c:idx val="77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B9-873A-48A4-9C4D-8AB260CAD881}"/>
                    </c:ext>
                  </c:extLst>
                </c:dPt>
                <c:dPt>
                  <c:idx val="77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BB-873A-48A4-9C4D-8AB260CAD881}"/>
                    </c:ext>
                  </c:extLst>
                </c:dPt>
                <c:dPt>
                  <c:idx val="77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BD-873A-48A4-9C4D-8AB260CAD881}"/>
                    </c:ext>
                  </c:extLst>
                </c:dPt>
                <c:dPt>
                  <c:idx val="77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BF-873A-48A4-9C4D-8AB260CAD881}"/>
                    </c:ext>
                  </c:extLst>
                </c:dPt>
                <c:dPt>
                  <c:idx val="77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C1-873A-48A4-9C4D-8AB260CAD881}"/>
                    </c:ext>
                  </c:extLst>
                </c:dPt>
                <c:dPt>
                  <c:idx val="77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C3-873A-48A4-9C4D-8AB260CAD881}"/>
                    </c:ext>
                  </c:extLst>
                </c:dPt>
                <c:dPt>
                  <c:idx val="77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C5-873A-48A4-9C4D-8AB260CAD881}"/>
                    </c:ext>
                  </c:extLst>
                </c:dPt>
                <c:dPt>
                  <c:idx val="77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C7-873A-48A4-9C4D-8AB260CAD881}"/>
                    </c:ext>
                  </c:extLst>
                </c:dPt>
                <c:dPt>
                  <c:idx val="78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C9-873A-48A4-9C4D-8AB260CAD881}"/>
                    </c:ext>
                  </c:extLst>
                </c:dPt>
                <c:dPt>
                  <c:idx val="78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CB-873A-48A4-9C4D-8AB260CAD881}"/>
                    </c:ext>
                  </c:extLst>
                </c:dPt>
                <c:dPt>
                  <c:idx val="78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CD-873A-48A4-9C4D-8AB260CAD881}"/>
                    </c:ext>
                  </c:extLst>
                </c:dPt>
                <c:dPt>
                  <c:idx val="78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CF-873A-48A4-9C4D-8AB260CAD881}"/>
                    </c:ext>
                  </c:extLst>
                </c:dPt>
                <c:dPt>
                  <c:idx val="78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D1-873A-48A4-9C4D-8AB260CAD881}"/>
                    </c:ext>
                  </c:extLst>
                </c:dPt>
                <c:dPt>
                  <c:idx val="78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D3-873A-48A4-9C4D-8AB260CAD881}"/>
                    </c:ext>
                  </c:extLst>
                </c:dPt>
                <c:dPt>
                  <c:idx val="78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D5-873A-48A4-9C4D-8AB260CAD881}"/>
                    </c:ext>
                  </c:extLst>
                </c:dPt>
                <c:dPt>
                  <c:idx val="78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D7-873A-48A4-9C4D-8AB260CAD881}"/>
                    </c:ext>
                  </c:extLst>
                </c:dPt>
                <c:dPt>
                  <c:idx val="78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D9-873A-48A4-9C4D-8AB260CAD881}"/>
                    </c:ext>
                  </c:extLst>
                </c:dPt>
                <c:dPt>
                  <c:idx val="78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DB-873A-48A4-9C4D-8AB260CAD881}"/>
                    </c:ext>
                  </c:extLst>
                </c:dPt>
                <c:dPt>
                  <c:idx val="79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DD-873A-48A4-9C4D-8AB260CAD881}"/>
                    </c:ext>
                  </c:extLst>
                </c:dPt>
                <c:dPt>
                  <c:idx val="79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DF-873A-48A4-9C4D-8AB260CAD881}"/>
                    </c:ext>
                  </c:extLst>
                </c:dPt>
                <c:dPt>
                  <c:idx val="79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E1-873A-48A4-9C4D-8AB260CAD881}"/>
                    </c:ext>
                  </c:extLst>
                </c:dPt>
                <c:dPt>
                  <c:idx val="79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E3-873A-48A4-9C4D-8AB260CAD881}"/>
                    </c:ext>
                  </c:extLst>
                </c:dPt>
                <c:dPt>
                  <c:idx val="79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E5-873A-48A4-9C4D-8AB260CAD881}"/>
                    </c:ext>
                  </c:extLst>
                </c:dPt>
                <c:dPt>
                  <c:idx val="79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E7-873A-48A4-9C4D-8AB260CAD881}"/>
                    </c:ext>
                  </c:extLst>
                </c:dPt>
                <c:dPt>
                  <c:idx val="79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E9-873A-48A4-9C4D-8AB260CAD881}"/>
                    </c:ext>
                  </c:extLst>
                </c:dPt>
                <c:dPt>
                  <c:idx val="79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EB-873A-48A4-9C4D-8AB260CAD881}"/>
                    </c:ext>
                  </c:extLst>
                </c:dPt>
                <c:dPt>
                  <c:idx val="79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ED-873A-48A4-9C4D-8AB260CAD881}"/>
                    </c:ext>
                  </c:extLst>
                </c:dPt>
                <c:dPt>
                  <c:idx val="79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EF-873A-48A4-9C4D-8AB260CAD881}"/>
                    </c:ext>
                  </c:extLst>
                </c:dPt>
                <c:dPt>
                  <c:idx val="80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F1-873A-48A4-9C4D-8AB260CAD881}"/>
                    </c:ext>
                  </c:extLst>
                </c:dPt>
                <c:dPt>
                  <c:idx val="80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F3-873A-48A4-9C4D-8AB260CAD881}"/>
                    </c:ext>
                  </c:extLst>
                </c:dPt>
                <c:dPt>
                  <c:idx val="80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F5-873A-48A4-9C4D-8AB260CAD881}"/>
                    </c:ext>
                  </c:extLst>
                </c:dPt>
                <c:dPt>
                  <c:idx val="80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F7-873A-48A4-9C4D-8AB260CAD881}"/>
                    </c:ext>
                  </c:extLst>
                </c:dPt>
                <c:dPt>
                  <c:idx val="80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F9-873A-48A4-9C4D-8AB260CAD881}"/>
                    </c:ext>
                  </c:extLst>
                </c:dPt>
                <c:dPt>
                  <c:idx val="80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FB-873A-48A4-9C4D-8AB260CAD881}"/>
                    </c:ext>
                  </c:extLst>
                </c:dPt>
                <c:dPt>
                  <c:idx val="80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FD-873A-48A4-9C4D-8AB260CAD881}"/>
                    </c:ext>
                  </c:extLst>
                </c:dPt>
                <c:dPt>
                  <c:idx val="80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FF-873A-48A4-9C4D-8AB260CAD881}"/>
                    </c:ext>
                  </c:extLst>
                </c:dPt>
                <c:dPt>
                  <c:idx val="80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01-873A-48A4-9C4D-8AB260CAD881}"/>
                    </c:ext>
                  </c:extLst>
                </c:dPt>
                <c:dPt>
                  <c:idx val="80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03-873A-48A4-9C4D-8AB260CAD881}"/>
                    </c:ext>
                  </c:extLst>
                </c:dPt>
                <c:dPt>
                  <c:idx val="81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05-873A-48A4-9C4D-8AB260CAD881}"/>
                    </c:ext>
                  </c:extLst>
                </c:dPt>
                <c:dPt>
                  <c:idx val="81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07-873A-48A4-9C4D-8AB260CAD881}"/>
                    </c:ext>
                  </c:extLst>
                </c:dPt>
                <c:dPt>
                  <c:idx val="81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09-873A-48A4-9C4D-8AB260CAD881}"/>
                    </c:ext>
                  </c:extLst>
                </c:dPt>
                <c:dPt>
                  <c:idx val="81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0B-873A-48A4-9C4D-8AB260CAD881}"/>
                    </c:ext>
                  </c:extLst>
                </c:dPt>
                <c:dPt>
                  <c:idx val="81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0D-873A-48A4-9C4D-8AB260CAD881}"/>
                    </c:ext>
                  </c:extLst>
                </c:dPt>
                <c:dPt>
                  <c:idx val="81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0F-873A-48A4-9C4D-8AB260CAD881}"/>
                    </c:ext>
                  </c:extLst>
                </c:dPt>
                <c:dPt>
                  <c:idx val="81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11-873A-48A4-9C4D-8AB260CAD881}"/>
                    </c:ext>
                  </c:extLst>
                </c:dPt>
                <c:dPt>
                  <c:idx val="81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13-873A-48A4-9C4D-8AB260CAD881}"/>
                    </c:ext>
                  </c:extLst>
                </c:dPt>
                <c:dPt>
                  <c:idx val="81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15-873A-48A4-9C4D-8AB260CAD881}"/>
                    </c:ext>
                  </c:extLst>
                </c:dPt>
                <c:dPt>
                  <c:idx val="81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17-873A-48A4-9C4D-8AB260CAD881}"/>
                    </c:ext>
                  </c:extLst>
                </c:dPt>
                <c:dPt>
                  <c:idx val="82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19-873A-48A4-9C4D-8AB260CAD881}"/>
                    </c:ext>
                  </c:extLst>
                </c:dPt>
                <c:dPt>
                  <c:idx val="82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1B-873A-48A4-9C4D-8AB260CAD881}"/>
                    </c:ext>
                  </c:extLst>
                </c:dPt>
                <c:dPt>
                  <c:idx val="82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1D-873A-48A4-9C4D-8AB260CAD881}"/>
                    </c:ext>
                  </c:extLst>
                </c:dPt>
                <c:dPt>
                  <c:idx val="82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1F-873A-48A4-9C4D-8AB260CAD881}"/>
                    </c:ext>
                  </c:extLst>
                </c:dPt>
                <c:dPt>
                  <c:idx val="82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21-873A-48A4-9C4D-8AB260CAD881}"/>
                    </c:ext>
                  </c:extLst>
                </c:dPt>
                <c:dPt>
                  <c:idx val="82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23-873A-48A4-9C4D-8AB260CAD881}"/>
                    </c:ext>
                  </c:extLst>
                </c:dPt>
                <c:dPt>
                  <c:idx val="82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25-873A-48A4-9C4D-8AB260CAD881}"/>
                    </c:ext>
                  </c:extLst>
                </c:dPt>
                <c:dPt>
                  <c:idx val="82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27-873A-48A4-9C4D-8AB260CAD881}"/>
                    </c:ext>
                  </c:extLst>
                </c:dPt>
                <c:dPt>
                  <c:idx val="82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29-873A-48A4-9C4D-8AB260CAD881}"/>
                    </c:ext>
                  </c:extLst>
                </c:dPt>
                <c:dPt>
                  <c:idx val="82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2B-873A-48A4-9C4D-8AB260CAD881}"/>
                    </c:ext>
                  </c:extLst>
                </c:dPt>
                <c:dPt>
                  <c:idx val="83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2D-873A-48A4-9C4D-8AB260CAD881}"/>
                    </c:ext>
                  </c:extLst>
                </c:dPt>
                <c:dPt>
                  <c:idx val="83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2F-873A-48A4-9C4D-8AB260CAD881}"/>
                    </c:ext>
                  </c:extLst>
                </c:dPt>
                <c:dPt>
                  <c:idx val="83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31-873A-48A4-9C4D-8AB260CAD881}"/>
                    </c:ext>
                  </c:extLst>
                </c:dPt>
                <c:dPt>
                  <c:idx val="83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33-873A-48A4-9C4D-8AB260CAD881}"/>
                    </c:ext>
                  </c:extLst>
                </c:dPt>
                <c:dPt>
                  <c:idx val="83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35-873A-48A4-9C4D-8AB260CAD881}"/>
                    </c:ext>
                  </c:extLst>
                </c:dPt>
                <c:dPt>
                  <c:idx val="83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37-873A-48A4-9C4D-8AB260CAD881}"/>
                    </c:ext>
                  </c:extLst>
                </c:dPt>
                <c:dPt>
                  <c:idx val="83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39-873A-48A4-9C4D-8AB260CAD881}"/>
                    </c:ext>
                  </c:extLst>
                </c:dPt>
                <c:dPt>
                  <c:idx val="83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3B-873A-48A4-9C4D-8AB260CAD881}"/>
                    </c:ext>
                  </c:extLst>
                </c:dPt>
                <c:dPt>
                  <c:idx val="83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3D-873A-48A4-9C4D-8AB260CAD881}"/>
                    </c:ext>
                  </c:extLst>
                </c:dPt>
                <c:dPt>
                  <c:idx val="83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3F-873A-48A4-9C4D-8AB260CAD881}"/>
                    </c:ext>
                  </c:extLst>
                </c:dPt>
                <c:dPt>
                  <c:idx val="84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41-873A-48A4-9C4D-8AB260CAD881}"/>
                    </c:ext>
                  </c:extLst>
                </c:dPt>
                <c:dPt>
                  <c:idx val="84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43-873A-48A4-9C4D-8AB260CAD881}"/>
                    </c:ext>
                  </c:extLst>
                </c:dPt>
                <c:dPt>
                  <c:idx val="84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45-873A-48A4-9C4D-8AB260CAD881}"/>
                    </c:ext>
                  </c:extLst>
                </c:dPt>
                <c:dPt>
                  <c:idx val="84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47-873A-48A4-9C4D-8AB260CAD881}"/>
                    </c:ext>
                  </c:extLst>
                </c:dPt>
                <c:dPt>
                  <c:idx val="84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49-873A-48A4-9C4D-8AB260CAD881}"/>
                    </c:ext>
                  </c:extLst>
                </c:dPt>
                <c:dPt>
                  <c:idx val="84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4B-873A-48A4-9C4D-8AB260CAD881}"/>
                    </c:ext>
                  </c:extLst>
                </c:dPt>
                <c:dPt>
                  <c:idx val="84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4D-873A-48A4-9C4D-8AB260CAD881}"/>
                    </c:ext>
                  </c:extLst>
                </c:dPt>
                <c:dPt>
                  <c:idx val="84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4F-873A-48A4-9C4D-8AB260CAD881}"/>
                    </c:ext>
                  </c:extLst>
                </c:dPt>
                <c:dPt>
                  <c:idx val="84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51-873A-48A4-9C4D-8AB260CAD881}"/>
                    </c:ext>
                  </c:extLst>
                </c:dPt>
                <c:dPt>
                  <c:idx val="84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53-873A-48A4-9C4D-8AB260CAD881}"/>
                    </c:ext>
                  </c:extLst>
                </c:dPt>
                <c:dPt>
                  <c:idx val="85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55-873A-48A4-9C4D-8AB260CAD881}"/>
                    </c:ext>
                  </c:extLst>
                </c:dPt>
                <c:dPt>
                  <c:idx val="85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57-873A-48A4-9C4D-8AB260CAD881}"/>
                    </c:ext>
                  </c:extLst>
                </c:dPt>
                <c:dPt>
                  <c:idx val="85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59-873A-48A4-9C4D-8AB260CAD881}"/>
                    </c:ext>
                  </c:extLst>
                </c:dPt>
                <c:dPt>
                  <c:idx val="85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5B-873A-48A4-9C4D-8AB260CAD881}"/>
                    </c:ext>
                  </c:extLst>
                </c:dPt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 cap="flat" cmpd="sng" algn="ctr">
                        <a:solidFill>
                          <a:schemeClr val="tx1">
                            <a:lumMod val="35000"/>
                            <a:lumOff val="65000"/>
                          </a:schemeClr>
                        </a:solidFill>
                        <a:round/>
                      </a:ln>
                      <a:effectLst/>
                    </c:spPr>
                  </c:leaderLines>
                  <c:extLst xmlns:c15="http://schemas.microsoft.com/office/drawing/2012/chart">
                    <c:ext xmlns:c15="http://schemas.microsoft.com/office/drawing/2012/chart" uri="{CE6537A1-D6FC-4f65-9D91-7224C49458BB}"/>
                  </c:extLst>
                </c:dLbls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('Données '!$C$199,'Données '!$E$199,'Données '!$G$199,'Données '!$I$199,'Données '!$K$199,'Données '!$M$199,'Données '!$O$199)</c15:sqref>
                        </c15:formulaRef>
                      </c:ext>
                    </c:extLst>
                    <c:strCache>
                      <c:ptCount val="7"/>
                      <c:pt idx="0">
                        <c:v>ESQ ==&gt; APD</c:v>
                      </c:pt>
                      <c:pt idx="1">
                        <c:v>Fin études/AO</c:v>
                      </c:pt>
                      <c:pt idx="2">
                        <c:v>OS</c:v>
                      </c:pt>
                      <c:pt idx="3">
                        <c:v>Travaux</c:v>
                      </c:pt>
                      <c:pt idx="4">
                        <c:v>GPA</c:v>
                      </c:pt>
                      <c:pt idx="5">
                        <c:v>Clôture défisc</c:v>
                      </c:pt>
                      <c:pt idx="6">
                        <c:v>STOP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('Données '!$C$201,'Données '!$E$201,'Données '!$G$201,'Données '!$I$201,'Données '!$K$201,'Données '!$M$201,'Données '!$O$201)</c15:sqref>
                        </c15:formulaRef>
                      </c:ext>
                    </c:extLst>
                    <c:numCache>
                      <c:formatCode>General</c:formatCode>
                      <c:ptCount val="7"/>
                      <c:pt idx="0">
                        <c:v>3</c:v>
                      </c:pt>
                      <c:pt idx="1">
                        <c:v>1</c:v>
                      </c:pt>
                      <c:pt idx="2">
                        <c:v>0</c:v>
                      </c:pt>
                      <c:pt idx="3">
                        <c:v>2</c:v>
                      </c:pt>
                      <c:pt idx="4">
                        <c:v>0</c:v>
                      </c:pt>
                      <c:pt idx="5">
                        <c:v>0</c:v>
                      </c:pt>
                      <c:pt idx="6">
                        <c:v>2</c:v>
                      </c:pt>
                    </c:numCache>
                  </c:numRef>
                </c:val>
                <c:extLst xmlns:c15="http://schemas.microsoft.com/office/drawing/2012/chart">
                  <c:ext xmlns:c16="http://schemas.microsoft.com/office/drawing/2014/chart" uri="{C3380CC4-5D6E-409C-BE32-E72D297353CC}">
                    <c16:uniqueId val="{000003C8-9D65-47E6-A29B-84F0AE2A7889}"/>
                  </c:ext>
                </c:extLst>
              </c15:ser>
            </c15:filteredPieSeries>
            <c15:filteredPieSeries>
              <c15:ser>
                <c:idx val="2"/>
                <c:order val="2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'Données '!$B$202</c15:sqref>
                        </c15:formulaRef>
                      </c:ext>
                    </c:extLst>
                    <c:strCache>
                      <c:ptCount val="1"/>
                      <c:pt idx="0">
                        <c:v>MMA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6B-BB14-480A-9256-E28CC6689494}"/>
                    </c:ext>
                  </c:extLst>
                </c:dPt>
                <c:dPt>
                  <c:idx val="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09-5E67-4978-B68F-16B7A4D41EB8}"/>
                    </c:ext>
                  </c:extLst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1F-80C1-492E-81C6-B4697D88B596}"/>
                    </c:ext>
                  </c:extLst>
                </c:dPt>
                <c:dPt>
                  <c:idx val="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D9-2172-432C-A4E6-1BD7D8978030}"/>
                    </c:ext>
                  </c:extLst>
                </c:dPt>
                <c:dPt>
                  <c:idx val="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23-80C1-492E-81C6-B4697D88B596}"/>
                    </c:ext>
                  </c:extLst>
                </c:dPt>
                <c:dPt>
                  <c:idx val="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93-86C2-40A7-9130-0F1C4BFDF6C5}"/>
                    </c:ext>
                  </c:extLst>
                </c:dPt>
                <c:dPt>
                  <c:idx val="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27-80C1-492E-81C6-B4697D88B596}"/>
                    </c:ext>
                  </c:extLst>
                </c:dPt>
                <c:dPt>
                  <c:idx val="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DD-2172-432C-A4E6-1BD7D8978030}"/>
                    </c:ext>
                  </c:extLst>
                </c:dPt>
                <c:dPt>
                  <c:idx val="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2B-80C1-492E-81C6-B4697D88B596}"/>
                    </c:ext>
                  </c:extLst>
                </c:dPt>
                <c:dPt>
                  <c:idx val="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F9-2DCC-4328-AB1A-F3FFFF846A65}"/>
                    </c:ext>
                  </c:extLst>
                </c:dPt>
                <c:dPt>
                  <c:idx val="1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2F-80C1-492E-81C6-B4697D88B596}"/>
                    </c:ext>
                  </c:extLst>
                </c:dPt>
                <c:dPt>
                  <c:idx val="1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E1-2172-432C-A4E6-1BD7D8978030}"/>
                    </c:ext>
                  </c:extLst>
                </c:dPt>
                <c:dPt>
                  <c:idx val="1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97-86C2-40A7-9130-0F1C4BFDF6C5}"/>
                    </c:ext>
                  </c:extLst>
                </c:dPt>
                <c:dPt>
                  <c:idx val="1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E5-2172-432C-A4E6-1BD7D8978030}"/>
                    </c:ext>
                  </c:extLst>
                </c:dPt>
                <c:dPt>
                  <c:idx val="1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0B-5E67-4978-B68F-16B7A4D41EB8}"/>
                    </c:ext>
                  </c:extLst>
                </c:dPt>
                <c:dPt>
                  <c:idx val="1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E9-2172-432C-A4E6-1BD7D8978030}"/>
                    </c:ext>
                  </c:extLst>
                </c:dPt>
                <c:dPt>
                  <c:idx val="1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9B-86C2-40A7-9130-0F1C4BFDF6C5}"/>
                    </c:ext>
                  </c:extLst>
                </c:dPt>
                <c:dPt>
                  <c:idx val="1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FD-2DCC-4328-AB1A-F3FFFF846A65}"/>
                    </c:ext>
                  </c:extLst>
                </c:dPt>
                <c:dPt>
                  <c:idx val="1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9F-86C2-40A7-9130-0F1C4BFDF6C5}"/>
                    </c:ext>
                  </c:extLst>
                </c:dPt>
                <c:dPt>
                  <c:idx val="1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53-851D-418A-BD70-216700392D59}"/>
                    </c:ext>
                  </c:extLst>
                </c:dPt>
                <c:dPt>
                  <c:idx val="2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A3-86C2-40A7-9130-0F1C4BFDF6C5}"/>
                    </c:ext>
                  </c:extLst>
                </c:dPt>
                <c:dPt>
                  <c:idx val="2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37-7F02-4576-9F92-296890FB9370}"/>
                    </c:ext>
                  </c:extLst>
                </c:dPt>
                <c:dPt>
                  <c:idx val="2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57-851D-418A-BD70-216700392D59}"/>
                    </c:ext>
                  </c:extLst>
                </c:dPt>
                <c:dPt>
                  <c:idx val="2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1B-1077-47D8-A292-E7BC267252AD}"/>
                    </c:ext>
                  </c:extLst>
                </c:dPt>
                <c:dPt>
                  <c:idx val="2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3B-7F02-4576-9F92-296890FB9370}"/>
                    </c:ext>
                  </c:extLst>
                </c:dPt>
                <c:dPt>
                  <c:idx val="2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45-71B5-45C2-93C5-38A82E2287F0}"/>
                    </c:ext>
                  </c:extLst>
                </c:dPt>
                <c:dPt>
                  <c:idx val="2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1F-1077-47D8-A292-E7BC267252AD}"/>
                    </c:ext>
                  </c:extLst>
                </c:dPt>
                <c:dPt>
                  <c:idx val="2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01-2DCC-4328-AB1A-F3FFFF846A65}"/>
                    </c:ext>
                  </c:extLst>
                </c:dPt>
                <c:dPt>
                  <c:idx val="2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0D-5E67-4978-B68F-16B7A4D41EB8}"/>
                    </c:ext>
                  </c:extLst>
                </c:dPt>
                <c:dPt>
                  <c:idx val="2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05-2DCC-4328-AB1A-F3FFFF846A65}"/>
                    </c:ext>
                  </c:extLst>
                </c:dPt>
                <c:dPt>
                  <c:idx val="3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B9-8B27-4822-9AB8-CBD693E398B3}"/>
                    </c:ext>
                  </c:extLst>
                </c:dPt>
                <c:dPt>
                  <c:idx val="3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09-2DCC-4328-AB1A-F3FFFF846A65}"/>
                    </c:ext>
                  </c:extLst>
                </c:dPt>
                <c:dPt>
                  <c:idx val="3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9D-3037-4232-8F3A-6B51DEFC6D36}"/>
                    </c:ext>
                  </c:extLst>
                </c:dPt>
                <c:dPt>
                  <c:idx val="3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BD-8B27-4822-9AB8-CBD693E398B3}"/>
                    </c:ext>
                  </c:extLst>
                </c:dPt>
                <c:dPt>
                  <c:idx val="3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81-C349-4656-8A28-AADBB205242E}"/>
                    </c:ext>
                  </c:extLst>
                </c:dPt>
                <c:dPt>
                  <c:idx val="3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A1-3037-4232-8F3A-6B51DEFC6D36}"/>
                    </c:ext>
                  </c:extLst>
                </c:dPt>
                <c:dPt>
                  <c:idx val="3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65-1969-424D-B9DB-D4AA8A653AEA}"/>
                    </c:ext>
                  </c:extLst>
                </c:dPt>
                <c:dPt>
                  <c:idx val="3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85-C349-4656-8A28-AADBB205242E}"/>
                    </c:ext>
                  </c:extLst>
                </c:dPt>
                <c:dPt>
                  <c:idx val="3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49-71B5-45C2-93C5-38A82E2287F0}"/>
                    </c:ext>
                  </c:extLst>
                </c:dPt>
                <c:dPt>
                  <c:idx val="3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69-1969-424D-B9DB-D4AA8A653AEA}"/>
                    </c:ext>
                  </c:extLst>
                </c:dPt>
                <c:dPt>
                  <c:idx val="4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0F-5E67-4978-B68F-16B7A4D41EB8}"/>
                    </c:ext>
                  </c:extLst>
                </c:dPt>
                <c:dPt>
                  <c:idx val="4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4D-71B5-45C2-93C5-38A82E2287F0}"/>
                    </c:ext>
                  </c:extLst>
                </c:dPt>
                <c:dPt>
                  <c:idx val="4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11-5E67-4978-B68F-16B7A4D41EB8}"/>
                    </c:ext>
                  </c:extLst>
                </c:dPt>
                <c:dPt>
                  <c:idx val="4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51-71B5-45C2-93C5-38A82E2287F0}"/>
                    </c:ext>
                  </c:extLst>
                </c:dPt>
                <c:dPt>
                  <c:idx val="4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C3-B230-4B26-846E-D56405EFE187}"/>
                    </c:ext>
                  </c:extLst>
                </c:dPt>
                <c:dPt>
                  <c:idx val="4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CF-A7A9-4C9D-B771-16E74E8E82FB}"/>
                    </c:ext>
                  </c:extLst>
                </c:dPt>
                <c:dPt>
                  <c:idx val="4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BB-D92A-42DD-8311-EEA00F60D44D}"/>
                    </c:ext>
                  </c:extLst>
                </c:dPt>
                <c:dPt>
                  <c:idx val="4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C7-B230-4B26-846E-D56405EFE187}"/>
                    </c:ext>
                  </c:extLst>
                </c:dPt>
                <c:dPt>
                  <c:idx val="4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97-9824-4A9C-B43B-F4AB0317ECFF}"/>
                    </c:ext>
                  </c:extLst>
                </c:dPt>
                <c:dPt>
                  <c:idx val="4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BF-D92A-42DD-8311-EEA00F60D44D}"/>
                    </c:ext>
                  </c:extLst>
                </c:dPt>
                <c:dPt>
                  <c:idx val="5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AB-92C0-48E2-B0DC-EF08AB5D95FA}"/>
                    </c:ext>
                  </c:extLst>
                </c:dPt>
                <c:dPt>
                  <c:idx val="5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C3-D92A-42DD-8311-EEA00F60D44D}"/>
                    </c:ext>
                  </c:extLst>
                </c:dPt>
                <c:dPt>
                  <c:idx val="5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87-39F0-4DCC-9F9F-8121D53561F9}"/>
                    </c:ext>
                  </c:extLst>
                </c:dPt>
                <c:dPt>
                  <c:idx val="5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AF-92C0-48E2-B0DC-EF08AB5D95FA}"/>
                    </c:ext>
                  </c:extLst>
                </c:dPt>
                <c:dPt>
                  <c:idx val="5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9B-9824-4A9C-B43B-F4AB0317ECFF}"/>
                    </c:ext>
                  </c:extLst>
                </c:dPt>
                <c:dPt>
                  <c:idx val="5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B3-92C0-48E2-B0DC-EF08AB5D95FA}"/>
                    </c:ext>
                  </c:extLst>
                </c:dPt>
                <c:dPt>
                  <c:idx val="5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77-962E-4D9C-B99B-812FB2AC153D}"/>
                    </c:ext>
                  </c:extLst>
                </c:dPt>
                <c:dPt>
                  <c:idx val="5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9F-9824-4A9C-B43B-F4AB0317ECFF}"/>
                    </c:ext>
                  </c:extLst>
                </c:dPt>
                <c:dPt>
                  <c:idx val="5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8B-39F0-4DCC-9F9F-8121D53561F9}"/>
                    </c:ext>
                  </c:extLst>
                </c:dPt>
                <c:dPt>
                  <c:idx val="5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A3-9824-4A9C-B43B-F4AB0317ECFF}"/>
                    </c:ext>
                  </c:extLst>
                </c:dPt>
                <c:dPt>
                  <c:idx val="6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67-A4B5-422E-8042-377C30AD8ADC}"/>
                    </c:ext>
                  </c:extLst>
                </c:dPt>
                <c:dPt>
                  <c:idx val="6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8F-39F0-4DCC-9F9F-8121D53561F9}"/>
                    </c:ext>
                  </c:extLst>
                </c:dPt>
                <c:dPt>
                  <c:idx val="6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7B-962E-4D9C-B99B-812FB2AC153D}"/>
                    </c:ext>
                  </c:extLst>
                </c:dPt>
                <c:dPt>
                  <c:idx val="6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93-39F0-4DCC-9F9F-8121D53561F9}"/>
                    </c:ext>
                  </c:extLst>
                </c:dPt>
                <c:dPt>
                  <c:idx val="6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41-CCE6-4BC6-948D-BF6183A19448}"/>
                    </c:ext>
                  </c:extLst>
                </c:dPt>
                <c:dPt>
                  <c:idx val="6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7F-962E-4D9C-B99B-812FB2AC153D}"/>
                    </c:ext>
                  </c:extLst>
                </c:dPt>
                <c:dPt>
                  <c:idx val="6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6B-A4B5-422E-8042-377C30AD8ADC}"/>
                    </c:ext>
                  </c:extLst>
                </c:dPt>
                <c:dPt>
                  <c:idx val="6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83-962E-4D9C-B99B-812FB2AC153D}"/>
                    </c:ext>
                  </c:extLst>
                </c:dPt>
                <c:dPt>
                  <c:idx val="6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59-A97A-43B6-BDDC-5E52DE8BCB5A}"/>
                    </c:ext>
                  </c:extLst>
                </c:dPt>
                <c:dPt>
                  <c:idx val="6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6F-A4B5-422E-8042-377C30AD8ADC}"/>
                    </c:ext>
                  </c:extLst>
                </c:dPt>
                <c:dPt>
                  <c:idx val="7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15-DA6A-4B96-A17C-1FF08617E929}"/>
                    </c:ext>
                  </c:extLst>
                </c:dPt>
                <c:dPt>
                  <c:idx val="7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73-A4B5-422E-8042-377C30AD8ADC}"/>
                    </c:ext>
                  </c:extLst>
                </c:dPt>
                <c:dPt>
                  <c:idx val="7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5D-A97A-43B6-BDDC-5E52DE8BCB5A}"/>
                    </c:ext>
                  </c:extLst>
                </c:dPt>
                <c:dPt>
                  <c:idx val="7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45-CCE6-4BC6-948D-BF6183A19448}"/>
                    </c:ext>
                  </c:extLst>
                </c:dPt>
                <c:dPt>
                  <c:idx val="7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61-A97A-43B6-BDDC-5E52DE8BCB5A}"/>
                    </c:ext>
                  </c:extLst>
                </c:dPt>
                <c:dPt>
                  <c:idx val="7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F9-05B4-4259-B2A3-54F33A80A2AA}"/>
                    </c:ext>
                  </c:extLst>
                </c:dPt>
                <c:dPt>
                  <c:idx val="7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65-A97A-43B6-BDDC-5E52DE8BCB5A}"/>
                    </c:ext>
                  </c:extLst>
                </c:dPt>
                <c:dPt>
                  <c:idx val="7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49-CCE6-4BC6-948D-BF6183A19448}"/>
                    </c:ext>
                  </c:extLst>
                </c:dPt>
                <c:dPt>
                  <c:idx val="7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19-DA6A-4B96-A17C-1FF08617E929}"/>
                    </c:ext>
                  </c:extLst>
                </c:dPt>
                <c:dPt>
                  <c:idx val="7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4D-CCE6-4BC6-948D-BF6183A19448}"/>
                    </c:ext>
                  </c:extLst>
                </c:dPt>
                <c:dPt>
                  <c:idx val="8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33-037B-4137-BE44-39F9C12750E5}"/>
                    </c:ext>
                  </c:extLst>
                </c:dPt>
                <c:dPt>
                  <c:idx val="8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51-CCE6-4BC6-948D-BF6183A19448}"/>
                    </c:ext>
                  </c:extLst>
                </c:dPt>
                <c:dPt>
                  <c:idx val="8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2B-E1F2-49E8-90BB-6A5D944FFBCA}"/>
                    </c:ext>
                  </c:extLst>
                </c:dPt>
                <c:dPt>
                  <c:idx val="8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37-037B-4137-BE44-39F9C12750E5}"/>
                    </c:ext>
                  </c:extLst>
                </c:dPt>
                <c:dPt>
                  <c:idx val="8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23-C22A-4E35-A906-67737FBCF186}"/>
                    </c:ext>
                  </c:extLst>
                </c:dPt>
                <c:dPt>
                  <c:idx val="8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2F-E1F2-49E8-90BB-6A5D944FFBCA}"/>
                    </c:ext>
                  </c:extLst>
                </c:dPt>
                <c:dPt>
                  <c:idx val="8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61-873A-48A4-9C4D-8AB260CAD881}"/>
                    </c:ext>
                  </c:extLst>
                </c:dPt>
                <c:dPt>
                  <c:idx val="8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27-C22A-4E35-A906-67737FBCF186}"/>
                    </c:ext>
                  </c:extLst>
                </c:dPt>
                <c:dPt>
                  <c:idx val="8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1D-DA6A-4B96-A17C-1FF08617E929}"/>
                    </c:ext>
                  </c:extLst>
                </c:dPt>
                <c:dPt>
                  <c:idx val="8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FD-05B4-4259-B2A3-54F33A80A2AA}"/>
                    </c:ext>
                  </c:extLst>
                </c:dPt>
                <c:dPt>
                  <c:idx val="9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21-DA6A-4B96-A17C-1FF08617E929}"/>
                    </c:ext>
                  </c:extLst>
                </c:dPt>
                <c:dPt>
                  <c:idx val="9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07-B825-430F-8F11-7910E512DB4D}"/>
                    </c:ext>
                  </c:extLst>
                </c:dPt>
                <c:dPt>
                  <c:idx val="9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25-DA6A-4B96-A17C-1FF08617E929}"/>
                    </c:ext>
                  </c:extLst>
                </c:dPt>
                <c:dPt>
                  <c:idx val="9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E7-9EBB-4498-AF73-DE10F8F08514}"/>
                    </c:ext>
                  </c:extLst>
                </c:dPt>
                <c:dPt>
                  <c:idx val="9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0B-B825-430F-8F11-7910E512DB4D}"/>
                    </c:ext>
                  </c:extLst>
                </c:dPt>
                <c:dPt>
                  <c:idx val="9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01-05B4-4259-B2A3-54F33A80A2AA}"/>
                    </c:ext>
                  </c:extLst>
                </c:dPt>
                <c:dPt>
                  <c:idx val="9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E9-9EBB-4498-AF73-DE10F8F08514}"/>
                    </c:ext>
                  </c:extLst>
                </c:dPt>
                <c:dPt>
                  <c:idx val="9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05-05B4-4259-B2A3-54F33A80A2AA}"/>
                    </c:ext>
                  </c:extLst>
                </c:dPt>
                <c:dPt>
                  <c:idx val="9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EB-9EBB-4498-AF73-DE10F8F08514}"/>
                    </c:ext>
                  </c:extLst>
                </c:dPt>
                <c:dPt>
                  <c:idx val="9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09-05B4-4259-B2A3-54F33A80A2AA}"/>
                    </c:ext>
                  </c:extLst>
                </c:dPt>
                <c:dPt>
                  <c:idx val="10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E3-D68D-470C-AA9D-3BBE0CCF22EC}"/>
                    </c:ext>
                  </c:extLst>
                </c:dPt>
                <c:dPt>
                  <c:idx val="10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EF-9EBB-4498-AF73-DE10F8F08514}"/>
                    </c:ext>
                  </c:extLst>
                </c:dPt>
                <c:dPt>
                  <c:idx val="10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DB-2D24-4F43-84DD-2AED8807F518}"/>
                    </c:ext>
                  </c:extLst>
                </c:dPt>
                <c:dPt>
                  <c:idx val="10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E7-D68D-470C-AA9D-3BBE0CCF22EC}"/>
                    </c:ext>
                  </c:extLst>
                </c:dPt>
                <c:dPt>
                  <c:idx val="10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D3-107D-4B73-87D1-0C7C262617E7}"/>
                    </c:ext>
                  </c:extLst>
                </c:dPt>
                <c:dPt>
                  <c:idx val="10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DF-2D24-4F43-84DD-2AED8807F518}"/>
                    </c:ext>
                  </c:extLst>
                </c:dPt>
                <c:dPt>
                  <c:idx val="10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CB-9AC6-4259-A165-1E9FF4D14917}"/>
                    </c:ext>
                  </c:extLst>
                </c:dPt>
                <c:dPt>
                  <c:idx val="10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D7-107D-4B73-87D1-0C7C262617E7}"/>
                    </c:ext>
                  </c:extLst>
                </c:dPt>
                <c:dPt>
                  <c:idx val="10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C3-377D-4BA3-8FD6-622858C4C058}"/>
                    </c:ext>
                  </c:extLst>
                </c:dPt>
                <c:dPt>
                  <c:idx val="10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CF-9AC6-4259-A165-1E9FF4D14917}"/>
                    </c:ext>
                  </c:extLst>
                </c:dPt>
                <c:dPt>
                  <c:idx val="11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BB-2B10-4BDB-B733-44BCEC169F5F}"/>
                    </c:ext>
                  </c:extLst>
                </c:dPt>
                <c:dPt>
                  <c:idx val="11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C7-377D-4BA3-8FD6-622858C4C058}"/>
                    </c:ext>
                  </c:extLst>
                </c:dPt>
                <c:dPt>
                  <c:idx val="11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B3-9AE5-4676-995C-2F720115BB62}"/>
                    </c:ext>
                  </c:extLst>
                </c:dPt>
                <c:dPt>
                  <c:idx val="11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BF-2B10-4BDB-B733-44BCEC169F5F}"/>
                    </c:ext>
                  </c:extLst>
                </c:dPt>
                <c:dPt>
                  <c:idx val="11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AB-7CC8-4595-B3A7-83DFCA8F1B4D}"/>
                    </c:ext>
                  </c:extLst>
                </c:dPt>
                <c:dPt>
                  <c:idx val="11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B7-9AE5-4676-995C-2F720115BB62}"/>
                    </c:ext>
                  </c:extLst>
                </c:dPt>
                <c:dPt>
                  <c:idx val="11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63-873A-48A4-9C4D-8AB260CAD881}"/>
                    </c:ext>
                  </c:extLst>
                </c:dPt>
                <c:dPt>
                  <c:idx val="11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AF-7CC8-4595-B3A7-83DFCA8F1B4D}"/>
                    </c:ext>
                  </c:extLst>
                </c:dPt>
                <c:dPt>
                  <c:idx val="11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9B-CDEC-4490-9859-88D72888B46F}"/>
                    </c:ext>
                  </c:extLst>
                </c:dPt>
                <c:dPt>
                  <c:idx val="11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B3-7CC8-4595-B3A7-83DFCA8F1B4D}"/>
                    </c:ext>
                  </c:extLst>
                </c:dPt>
                <c:dPt>
                  <c:idx val="12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89-C015-4A9A-ACD6-7A8EC340CC3E}"/>
                    </c:ext>
                  </c:extLst>
                </c:dPt>
                <c:dPt>
                  <c:idx val="12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9F-CDEC-4490-9859-88D72888B46F}"/>
                    </c:ext>
                  </c:extLst>
                </c:dPt>
                <c:dPt>
                  <c:idx val="12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65-873A-48A4-9C4D-8AB260CAD881}"/>
                    </c:ext>
                  </c:extLst>
                </c:dPt>
                <c:dPt>
                  <c:idx val="12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A3-CDEC-4490-9859-88D72888B46F}"/>
                    </c:ext>
                  </c:extLst>
                </c:dPt>
                <c:dPt>
                  <c:idx val="12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8D-C015-4A9A-ACD6-7A8EC340CC3E}"/>
                    </c:ext>
                  </c:extLst>
                </c:dPt>
                <c:dPt>
                  <c:idx val="12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7F-4E23-4D2F-9483-98B7DA2B7B1A}"/>
                    </c:ext>
                  </c:extLst>
                </c:dPt>
                <c:dPt>
                  <c:idx val="12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91-C015-4A9A-ACD6-7A8EC340CC3E}"/>
                    </c:ext>
                  </c:extLst>
                </c:dPt>
                <c:dPt>
                  <c:idx val="12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77-9294-4F09-9B9E-A7CDA70CAE52}"/>
                    </c:ext>
                  </c:extLst>
                </c:dPt>
                <c:dPt>
                  <c:idx val="12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83-4E23-4D2F-9483-98B7DA2B7B1A}"/>
                    </c:ext>
                  </c:extLst>
                </c:dPt>
                <c:dPt>
                  <c:idx val="12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6F-0EB4-47A4-B114-49EDB5797B49}"/>
                    </c:ext>
                  </c:extLst>
                </c:dPt>
                <c:dPt>
                  <c:idx val="13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7B-9294-4F09-9B9E-A7CDA70CAE52}"/>
                    </c:ext>
                  </c:extLst>
                </c:dPt>
                <c:dPt>
                  <c:idx val="13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67-873A-48A4-9C4D-8AB260CAD881}"/>
                    </c:ext>
                  </c:extLst>
                </c:dPt>
                <c:dPt>
                  <c:idx val="13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73-0EB4-47A4-B114-49EDB5797B49}"/>
                    </c:ext>
                  </c:extLst>
                </c:dPt>
                <c:dPt>
                  <c:idx val="13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69-873A-48A4-9C4D-8AB260CAD881}"/>
                    </c:ext>
                  </c:extLst>
                </c:dPt>
                <c:dPt>
                  <c:idx val="13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6B-873A-48A4-9C4D-8AB260CAD881}"/>
                    </c:ext>
                  </c:extLst>
                </c:dPt>
                <c:dPt>
                  <c:idx val="13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6D-873A-48A4-9C4D-8AB260CAD881}"/>
                    </c:ext>
                  </c:extLst>
                </c:dPt>
                <c:dPt>
                  <c:idx val="13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6F-873A-48A4-9C4D-8AB260CAD881}"/>
                    </c:ext>
                  </c:extLst>
                </c:dPt>
                <c:dPt>
                  <c:idx val="13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71-873A-48A4-9C4D-8AB260CAD881}"/>
                    </c:ext>
                  </c:extLst>
                </c:dPt>
                <c:dPt>
                  <c:idx val="13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73-873A-48A4-9C4D-8AB260CAD881}"/>
                    </c:ext>
                  </c:extLst>
                </c:dPt>
                <c:dPt>
                  <c:idx val="13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75-873A-48A4-9C4D-8AB260CAD881}"/>
                    </c:ext>
                  </c:extLst>
                </c:dPt>
                <c:dPt>
                  <c:idx val="14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77-873A-48A4-9C4D-8AB260CAD881}"/>
                    </c:ext>
                  </c:extLst>
                </c:dPt>
                <c:dPt>
                  <c:idx val="14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79-873A-48A4-9C4D-8AB260CAD881}"/>
                    </c:ext>
                  </c:extLst>
                </c:dPt>
                <c:dPt>
                  <c:idx val="14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7B-873A-48A4-9C4D-8AB260CAD881}"/>
                    </c:ext>
                  </c:extLst>
                </c:dPt>
                <c:dPt>
                  <c:idx val="14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7D-873A-48A4-9C4D-8AB260CAD881}"/>
                    </c:ext>
                  </c:extLst>
                </c:dPt>
                <c:dPt>
                  <c:idx val="14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7F-873A-48A4-9C4D-8AB260CAD881}"/>
                    </c:ext>
                  </c:extLst>
                </c:dPt>
                <c:dPt>
                  <c:idx val="14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81-873A-48A4-9C4D-8AB260CAD881}"/>
                    </c:ext>
                  </c:extLst>
                </c:dPt>
                <c:dPt>
                  <c:idx val="14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83-873A-48A4-9C4D-8AB260CAD881}"/>
                    </c:ext>
                  </c:extLst>
                </c:dPt>
                <c:dPt>
                  <c:idx val="14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85-873A-48A4-9C4D-8AB260CAD881}"/>
                    </c:ext>
                  </c:extLst>
                </c:dPt>
                <c:dPt>
                  <c:idx val="14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87-873A-48A4-9C4D-8AB260CAD881}"/>
                    </c:ext>
                  </c:extLst>
                </c:dPt>
                <c:dPt>
                  <c:idx val="14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89-873A-48A4-9C4D-8AB260CAD881}"/>
                    </c:ext>
                  </c:extLst>
                </c:dPt>
                <c:dPt>
                  <c:idx val="15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8B-873A-48A4-9C4D-8AB260CAD881}"/>
                    </c:ext>
                  </c:extLst>
                </c:dPt>
                <c:dPt>
                  <c:idx val="15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8D-873A-48A4-9C4D-8AB260CAD881}"/>
                    </c:ext>
                  </c:extLst>
                </c:dPt>
                <c:dPt>
                  <c:idx val="15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8F-873A-48A4-9C4D-8AB260CAD881}"/>
                    </c:ext>
                  </c:extLst>
                </c:dPt>
                <c:dPt>
                  <c:idx val="15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91-873A-48A4-9C4D-8AB260CAD881}"/>
                    </c:ext>
                  </c:extLst>
                </c:dPt>
                <c:dPt>
                  <c:idx val="15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93-873A-48A4-9C4D-8AB260CAD881}"/>
                    </c:ext>
                  </c:extLst>
                </c:dPt>
                <c:dPt>
                  <c:idx val="15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95-873A-48A4-9C4D-8AB260CAD881}"/>
                    </c:ext>
                  </c:extLst>
                </c:dPt>
                <c:dPt>
                  <c:idx val="15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97-873A-48A4-9C4D-8AB260CAD881}"/>
                    </c:ext>
                  </c:extLst>
                </c:dPt>
                <c:dPt>
                  <c:idx val="15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99-873A-48A4-9C4D-8AB260CAD881}"/>
                    </c:ext>
                  </c:extLst>
                </c:dPt>
                <c:dPt>
                  <c:idx val="15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9B-873A-48A4-9C4D-8AB260CAD881}"/>
                    </c:ext>
                  </c:extLst>
                </c:dPt>
                <c:dPt>
                  <c:idx val="15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9D-873A-48A4-9C4D-8AB260CAD881}"/>
                    </c:ext>
                  </c:extLst>
                </c:dPt>
                <c:dPt>
                  <c:idx val="16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9F-873A-48A4-9C4D-8AB260CAD881}"/>
                    </c:ext>
                  </c:extLst>
                </c:dPt>
                <c:dPt>
                  <c:idx val="16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A1-873A-48A4-9C4D-8AB260CAD881}"/>
                    </c:ext>
                  </c:extLst>
                </c:dPt>
                <c:dPt>
                  <c:idx val="16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A3-873A-48A4-9C4D-8AB260CAD881}"/>
                    </c:ext>
                  </c:extLst>
                </c:dPt>
                <c:dPt>
                  <c:idx val="16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A5-873A-48A4-9C4D-8AB260CAD881}"/>
                    </c:ext>
                  </c:extLst>
                </c:dPt>
                <c:dPt>
                  <c:idx val="16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A7-873A-48A4-9C4D-8AB260CAD881}"/>
                    </c:ext>
                  </c:extLst>
                </c:dPt>
                <c:dPt>
                  <c:idx val="16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A9-873A-48A4-9C4D-8AB260CAD881}"/>
                    </c:ext>
                  </c:extLst>
                </c:dPt>
                <c:dPt>
                  <c:idx val="16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AB-873A-48A4-9C4D-8AB260CAD881}"/>
                    </c:ext>
                  </c:extLst>
                </c:dPt>
                <c:dPt>
                  <c:idx val="16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AD-873A-48A4-9C4D-8AB260CAD881}"/>
                    </c:ext>
                  </c:extLst>
                </c:dPt>
                <c:dPt>
                  <c:idx val="16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AF-873A-48A4-9C4D-8AB260CAD881}"/>
                    </c:ext>
                  </c:extLst>
                </c:dPt>
                <c:dPt>
                  <c:idx val="16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B1-873A-48A4-9C4D-8AB260CAD881}"/>
                    </c:ext>
                  </c:extLst>
                </c:dPt>
                <c:dPt>
                  <c:idx val="17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B3-873A-48A4-9C4D-8AB260CAD881}"/>
                    </c:ext>
                  </c:extLst>
                </c:dPt>
                <c:dPt>
                  <c:idx val="17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B5-873A-48A4-9C4D-8AB260CAD881}"/>
                    </c:ext>
                  </c:extLst>
                </c:dPt>
                <c:dPt>
                  <c:idx val="17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B7-873A-48A4-9C4D-8AB260CAD881}"/>
                    </c:ext>
                  </c:extLst>
                </c:dPt>
                <c:dPt>
                  <c:idx val="17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B9-873A-48A4-9C4D-8AB260CAD881}"/>
                    </c:ext>
                  </c:extLst>
                </c:dPt>
                <c:dPt>
                  <c:idx val="17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BB-873A-48A4-9C4D-8AB260CAD881}"/>
                    </c:ext>
                  </c:extLst>
                </c:dPt>
                <c:dPt>
                  <c:idx val="17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BD-873A-48A4-9C4D-8AB260CAD881}"/>
                    </c:ext>
                  </c:extLst>
                </c:dPt>
                <c:dPt>
                  <c:idx val="17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BF-873A-48A4-9C4D-8AB260CAD881}"/>
                    </c:ext>
                  </c:extLst>
                </c:dPt>
                <c:dPt>
                  <c:idx val="17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C1-873A-48A4-9C4D-8AB260CAD881}"/>
                    </c:ext>
                  </c:extLst>
                </c:dPt>
                <c:dPt>
                  <c:idx val="17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C3-873A-48A4-9C4D-8AB260CAD881}"/>
                    </c:ext>
                  </c:extLst>
                </c:dPt>
                <c:dPt>
                  <c:idx val="17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C5-873A-48A4-9C4D-8AB260CAD881}"/>
                    </c:ext>
                  </c:extLst>
                </c:dPt>
                <c:dPt>
                  <c:idx val="18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C7-873A-48A4-9C4D-8AB260CAD881}"/>
                    </c:ext>
                  </c:extLst>
                </c:dPt>
                <c:dPt>
                  <c:idx val="18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C9-873A-48A4-9C4D-8AB260CAD881}"/>
                    </c:ext>
                  </c:extLst>
                </c:dPt>
                <c:dPt>
                  <c:idx val="18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CB-873A-48A4-9C4D-8AB260CAD881}"/>
                    </c:ext>
                  </c:extLst>
                </c:dPt>
                <c:dPt>
                  <c:idx val="18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CD-873A-48A4-9C4D-8AB260CAD881}"/>
                    </c:ext>
                  </c:extLst>
                </c:dPt>
                <c:dPt>
                  <c:idx val="18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CF-873A-48A4-9C4D-8AB260CAD881}"/>
                    </c:ext>
                  </c:extLst>
                </c:dPt>
                <c:dPt>
                  <c:idx val="18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D1-873A-48A4-9C4D-8AB260CAD881}"/>
                    </c:ext>
                  </c:extLst>
                </c:dPt>
                <c:dPt>
                  <c:idx val="18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D3-873A-48A4-9C4D-8AB260CAD881}"/>
                    </c:ext>
                  </c:extLst>
                </c:dPt>
                <c:dPt>
                  <c:idx val="18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D5-873A-48A4-9C4D-8AB260CAD881}"/>
                    </c:ext>
                  </c:extLst>
                </c:dPt>
                <c:dPt>
                  <c:idx val="18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D7-873A-48A4-9C4D-8AB260CAD881}"/>
                    </c:ext>
                  </c:extLst>
                </c:dPt>
                <c:dPt>
                  <c:idx val="18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D9-873A-48A4-9C4D-8AB260CAD881}"/>
                    </c:ext>
                  </c:extLst>
                </c:dPt>
                <c:dPt>
                  <c:idx val="19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DB-873A-48A4-9C4D-8AB260CAD881}"/>
                    </c:ext>
                  </c:extLst>
                </c:dPt>
                <c:dPt>
                  <c:idx val="19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DD-873A-48A4-9C4D-8AB260CAD881}"/>
                    </c:ext>
                  </c:extLst>
                </c:dPt>
                <c:dPt>
                  <c:idx val="19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DF-873A-48A4-9C4D-8AB260CAD881}"/>
                    </c:ext>
                  </c:extLst>
                </c:dPt>
                <c:dPt>
                  <c:idx val="19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E1-873A-48A4-9C4D-8AB260CAD881}"/>
                    </c:ext>
                  </c:extLst>
                </c:dPt>
                <c:dPt>
                  <c:idx val="19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E3-873A-48A4-9C4D-8AB260CAD881}"/>
                    </c:ext>
                  </c:extLst>
                </c:dPt>
                <c:dPt>
                  <c:idx val="19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E5-873A-48A4-9C4D-8AB260CAD881}"/>
                    </c:ext>
                  </c:extLst>
                </c:dPt>
                <c:dPt>
                  <c:idx val="19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E7-873A-48A4-9C4D-8AB260CAD881}"/>
                    </c:ext>
                  </c:extLst>
                </c:dPt>
                <c:dPt>
                  <c:idx val="19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E9-873A-48A4-9C4D-8AB260CAD881}"/>
                    </c:ext>
                  </c:extLst>
                </c:dPt>
                <c:dPt>
                  <c:idx val="19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EB-873A-48A4-9C4D-8AB260CAD881}"/>
                    </c:ext>
                  </c:extLst>
                </c:dPt>
                <c:dPt>
                  <c:idx val="19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ED-873A-48A4-9C4D-8AB260CAD881}"/>
                    </c:ext>
                  </c:extLst>
                </c:dPt>
                <c:dPt>
                  <c:idx val="20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EF-873A-48A4-9C4D-8AB260CAD881}"/>
                    </c:ext>
                  </c:extLst>
                </c:dPt>
                <c:dPt>
                  <c:idx val="20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F1-873A-48A4-9C4D-8AB260CAD881}"/>
                    </c:ext>
                  </c:extLst>
                </c:dPt>
                <c:dPt>
                  <c:idx val="20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F3-873A-48A4-9C4D-8AB260CAD881}"/>
                    </c:ext>
                  </c:extLst>
                </c:dPt>
                <c:dPt>
                  <c:idx val="20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F5-873A-48A4-9C4D-8AB260CAD881}"/>
                    </c:ext>
                  </c:extLst>
                </c:dPt>
                <c:dPt>
                  <c:idx val="20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F7-873A-48A4-9C4D-8AB260CAD881}"/>
                    </c:ext>
                  </c:extLst>
                </c:dPt>
                <c:dPt>
                  <c:idx val="20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F9-873A-48A4-9C4D-8AB260CAD881}"/>
                    </c:ext>
                  </c:extLst>
                </c:dPt>
                <c:dPt>
                  <c:idx val="20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FB-873A-48A4-9C4D-8AB260CAD881}"/>
                    </c:ext>
                  </c:extLst>
                </c:dPt>
                <c:dPt>
                  <c:idx val="20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FD-873A-48A4-9C4D-8AB260CAD881}"/>
                    </c:ext>
                  </c:extLst>
                </c:dPt>
                <c:dPt>
                  <c:idx val="20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FF-873A-48A4-9C4D-8AB260CAD881}"/>
                    </c:ext>
                  </c:extLst>
                </c:dPt>
                <c:dPt>
                  <c:idx val="20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01-873A-48A4-9C4D-8AB260CAD881}"/>
                    </c:ext>
                  </c:extLst>
                </c:dPt>
                <c:dPt>
                  <c:idx val="21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03-873A-48A4-9C4D-8AB260CAD881}"/>
                    </c:ext>
                  </c:extLst>
                </c:dPt>
                <c:dPt>
                  <c:idx val="21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05-873A-48A4-9C4D-8AB260CAD881}"/>
                    </c:ext>
                  </c:extLst>
                </c:dPt>
                <c:dPt>
                  <c:idx val="21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07-873A-48A4-9C4D-8AB260CAD881}"/>
                    </c:ext>
                  </c:extLst>
                </c:dPt>
                <c:dPt>
                  <c:idx val="21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09-873A-48A4-9C4D-8AB260CAD881}"/>
                    </c:ext>
                  </c:extLst>
                </c:dPt>
                <c:dPt>
                  <c:idx val="21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0B-873A-48A4-9C4D-8AB260CAD881}"/>
                    </c:ext>
                  </c:extLst>
                </c:dPt>
                <c:dPt>
                  <c:idx val="21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0D-873A-48A4-9C4D-8AB260CAD881}"/>
                    </c:ext>
                  </c:extLst>
                </c:dPt>
                <c:dPt>
                  <c:idx val="21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0F-873A-48A4-9C4D-8AB260CAD881}"/>
                    </c:ext>
                  </c:extLst>
                </c:dPt>
                <c:dPt>
                  <c:idx val="21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11-873A-48A4-9C4D-8AB260CAD881}"/>
                    </c:ext>
                  </c:extLst>
                </c:dPt>
                <c:dPt>
                  <c:idx val="21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13-873A-48A4-9C4D-8AB260CAD881}"/>
                    </c:ext>
                  </c:extLst>
                </c:dPt>
                <c:dPt>
                  <c:idx val="21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15-873A-48A4-9C4D-8AB260CAD881}"/>
                    </c:ext>
                  </c:extLst>
                </c:dPt>
                <c:dPt>
                  <c:idx val="22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17-873A-48A4-9C4D-8AB260CAD881}"/>
                    </c:ext>
                  </c:extLst>
                </c:dPt>
                <c:dPt>
                  <c:idx val="22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19-873A-48A4-9C4D-8AB260CAD881}"/>
                    </c:ext>
                  </c:extLst>
                </c:dPt>
                <c:dPt>
                  <c:idx val="22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1B-873A-48A4-9C4D-8AB260CAD881}"/>
                    </c:ext>
                  </c:extLst>
                </c:dPt>
                <c:dPt>
                  <c:idx val="22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1D-873A-48A4-9C4D-8AB260CAD881}"/>
                    </c:ext>
                  </c:extLst>
                </c:dPt>
                <c:dPt>
                  <c:idx val="22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1F-873A-48A4-9C4D-8AB260CAD881}"/>
                    </c:ext>
                  </c:extLst>
                </c:dPt>
                <c:dPt>
                  <c:idx val="22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21-873A-48A4-9C4D-8AB260CAD881}"/>
                    </c:ext>
                  </c:extLst>
                </c:dPt>
                <c:dPt>
                  <c:idx val="22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23-873A-48A4-9C4D-8AB260CAD881}"/>
                    </c:ext>
                  </c:extLst>
                </c:dPt>
                <c:dPt>
                  <c:idx val="22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25-873A-48A4-9C4D-8AB260CAD881}"/>
                    </c:ext>
                  </c:extLst>
                </c:dPt>
                <c:dPt>
                  <c:idx val="22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27-873A-48A4-9C4D-8AB260CAD881}"/>
                    </c:ext>
                  </c:extLst>
                </c:dPt>
                <c:dPt>
                  <c:idx val="22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29-873A-48A4-9C4D-8AB260CAD881}"/>
                    </c:ext>
                  </c:extLst>
                </c:dPt>
                <c:dPt>
                  <c:idx val="23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2B-873A-48A4-9C4D-8AB260CAD881}"/>
                    </c:ext>
                  </c:extLst>
                </c:dPt>
                <c:dPt>
                  <c:idx val="23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2D-873A-48A4-9C4D-8AB260CAD881}"/>
                    </c:ext>
                  </c:extLst>
                </c:dPt>
                <c:dPt>
                  <c:idx val="23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2F-873A-48A4-9C4D-8AB260CAD881}"/>
                    </c:ext>
                  </c:extLst>
                </c:dPt>
                <c:dPt>
                  <c:idx val="23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31-873A-48A4-9C4D-8AB260CAD881}"/>
                    </c:ext>
                  </c:extLst>
                </c:dPt>
                <c:dPt>
                  <c:idx val="23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33-873A-48A4-9C4D-8AB260CAD881}"/>
                    </c:ext>
                  </c:extLst>
                </c:dPt>
                <c:dPt>
                  <c:idx val="23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35-873A-48A4-9C4D-8AB260CAD881}"/>
                    </c:ext>
                  </c:extLst>
                </c:dPt>
                <c:dPt>
                  <c:idx val="23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37-873A-48A4-9C4D-8AB260CAD881}"/>
                    </c:ext>
                  </c:extLst>
                </c:dPt>
                <c:dPt>
                  <c:idx val="23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39-873A-48A4-9C4D-8AB260CAD881}"/>
                    </c:ext>
                  </c:extLst>
                </c:dPt>
                <c:dPt>
                  <c:idx val="23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3B-873A-48A4-9C4D-8AB260CAD881}"/>
                    </c:ext>
                  </c:extLst>
                </c:dPt>
                <c:dPt>
                  <c:idx val="23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3D-873A-48A4-9C4D-8AB260CAD881}"/>
                    </c:ext>
                  </c:extLst>
                </c:dPt>
                <c:dPt>
                  <c:idx val="24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3F-873A-48A4-9C4D-8AB260CAD881}"/>
                    </c:ext>
                  </c:extLst>
                </c:dPt>
                <c:dPt>
                  <c:idx val="24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41-873A-48A4-9C4D-8AB260CAD881}"/>
                    </c:ext>
                  </c:extLst>
                </c:dPt>
                <c:dPt>
                  <c:idx val="24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43-873A-48A4-9C4D-8AB260CAD881}"/>
                    </c:ext>
                  </c:extLst>
                </c:dPt>
                <c:dPt>
                  <c:idx val="24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45-873A-48A4-9C4D-8AB260CAD881}"/>
                    </c:ext>
                  </c:extLst>
                </c:dPt>
                <c:dPt>
                  <c:idx val="24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47-873A-48A4-9C4D-8AB260CAD881}"/>
                    </c:ext>
                  </c:extLst>
                </c:dPt>
                <c:dPt>
                  <c:idx val="24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49-873A-48A4-9C4D-8AB260CAD881}"/>
                    </c:ext>
                  </c:extLst>
                </c:dPt>
                <c:dPt>
                  <c:idx val="24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4B-873A-48A4-9C4D-8AB260CAD881}"/>
                    </c:ext>
                  </c:extLst>
                </c:dPt>
                <c:dPt>
                  <c:idx val="24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4D-873A-48A4-9C4D-8AB260CAD881}"/>
                    </c:ext>
                  </c:extLst>
                </c:dPt>
                <c:dPt>
                  <c:idx val="24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4F-873A-48A4-9C4D-8AB260CAD881}"/>
                    </c:ext>
                  </c:extLst>
                </c:dPt>
                <c:dPt>
                  <c:idx val="24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51-873A-48A4-9C4D-8AB260CAD881}"/>
                    </c:ext>
                  </c:extLst>
                </c:dPt>
                <c:dPt>
                  <c:idx val="25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53-873A-48A4-9C4D-8AB260CAD881}"/>
                    </c:ext>
                  </c:extLst>
                </c:dPt>
                <c:dPt>
                  <c:idx val="25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55-873A-48A4-9C4D-8AB260CAD881}"/>
                    </c:ext>
                  </c:extLst>
                </c:dPt>
                <c:dPt>
                  <c:idx val="25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57-873A-48A4-9C4D-8AB260CAD881}"/>
                    </c:ext>
                  </c:extLst>
                </c:dPt>
                <c:dPt>
                  <c:idx val="25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59-873A-48A4-9C4D-8AB260CAD881}"/>
                    </c:ext>
                  </c:extLst>
                </c:dPt>
                <c:dPt>
                  <c:idx val="25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5B-873A-48A4-9C4D-8AB260CAD881}"/>
                    </c:ext>
                  </c:extLst>
                </c:dPt>
                <c:dPt>
                  <c:idx val="25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5D-873A-48A4-9C4D-8AB260CAD881}"/>
                    </c:ext>
                  </c:extLst>
                </c:dPt>
                <c:dPt>
                  <c:idx val="25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5F-873A-48A4-9C4D-8AB260CAD881}"/>
                    </c:ext>
                  </c:extLst>
                </c:dPt>
                <c:dPt>
                  <c:idx val="25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61-873A-48A4-9C4D-8AB260CAD881}"/>
                    </c:ext>
                  </c:extLst>
                </c:dPt>
                <c:dPt>
                  <c:idx val="25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63-873A-48A4-9C4D-8AB260CAD881}"/>
                    </c:ext>
                  </c:extLst>
                </c:dPt>
                <c:dPt>
                  <c:idx val="25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65-873A-48A4-9C4D-8AB260CAD881}"/>
                    </c:ext>
                  </c:extLst>
                </c:dPt>
                <c:dPt>
                  <c:idx val="26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67-873A-48A4-9C4D-8AB260CAD881}"/>
                    </c:ext>
                  </c:extLst>
                </c:dPt>
                <c:dPt>
                  <c:idx val="26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69-873A-48A4-9C4D-8AB260CAD881}"/>
                    </c:ext>
                  </c:extLst>
                </c:dPt>
                <c:dPt>
                  <c:idx val="26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6B-873A-48A4-9C4D-8AB260CAD881}"/>
                    </c:ext>
                  </c:extLst>
                </c:dPt>
                <c:dPt>
                  <c:idx val="26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6D-873A-48A4-9C4D-8AB260CAD881}"/>
                    </c:ext>
                  </c:extLst>
                </c:dPt>
                <c:dPt>
                  <c:idx val="26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6F-873A-48A4-9C4D-8AB260CAD881}"/>
                    </c:ext>
                  </c:extLst>
                </c:dPt>
                <c:dPt>
                  <c:idx val="26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71-873A-48A4-9C4D-8AB260CAD881}"/>
                    </c:ext>
                  </c:extLst>
                </c:dPt>
                <c:dPt>
                  <c:idx val="26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73-873A-48A4-9C4D-8AB260CAD881}"/>
                    </c:ext>
                  </c:extLst>
                </c:dPt>
                <c:dPt>
                  <c:idx val="26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75-873A-48A4-9C4D-8AB260CAD881}"/>
                    </c:ext>
                  </c:extLst>
                </c:dPt>
                <c:dPt>
                  <c:idx val="26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77-873A-48A4-9C4D-8AB260CAD881}"/>
                    </c:ext>
                  </c:extLst>
                </c:dPt>
                <c:dPt>
                  <c:idx val="26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79-873A-48A4-9C4D-8AB260CAD881}"/>
                    </c:ext>
                  </c:extLst>
                </c:dPt>
                <c:dPt>
                  <c:idx val="27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7B-873A-48A4-9C4D-8AB260CAD881}"/>
                    </c:ext>
                  </c:extLst>
                </c:dPt>
                <c:dPt>
                  <c:idx val="27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7D-873A-48A4-9C4D-8AB260CAD881}"/>
                    </c:ext>
                  </c:extLst>
                </c:dPt>
                <c:dPt>
                  <c:idx val="27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7F-873A-48A4-9C4D-8AB260CAD881}"/>
                    </c:ext>
                  </c:extLst>
                </c:dPt>
                <c:dPt>
                  <c:idx val="27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81-873A-48A4-9C4D-8AB260CAD881}"/>
                    </c:ext>
                  </c:extLst>
                </c:dPt>
                <c:dPt>
                  <c:idx val="27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83-873A-48A4-9C4D-8AB260CAD881}"/>
                    </c:ext>
                  </c:extLst>
                </c:dPt>
                <c:dPt>
                  <c:idx val="27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85-873A-48A4-9C4D-8AB260CAD881}"/>
                    </c:ext>
                  </c:extLst>
                </c:dPt>
                <c:dPt>
                  <c:idx val="27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87-873A-48A4-9C4D-8AB260CAD881}"/>
                    </c:ext>
                  </c:extLst>
                </c:dPt>
                <c:dPt>
                  <c:idx val="27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89-873A-48A4-9C4D-8AB260CAD881}"/>
                    </c:ext>
                  </c:extLst>
                </c:dPt>
                <c:dPt>
                  <c:idx val="27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8B-873A-48A4-9C4D-8AB260CAD881}"/>
                    </c:ext>
                  </c:extLst>
                </c:dPt>
                <c:dPt>
                  <c:idx val="27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8D-873A-48A4-9C4D-8AB260CAD881}"/>
                    </c:ext>
                  </c:extLst>
                </c:dPt>
                <c:dPt>
                  <c:idx val="28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8F-873A-48A4-9C4D-8AB260CAD881}"/>
                    </c:ext>
                  </c:extLst>
                </c:dPt>
                <c:dPt>
                  <c:idx val="28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91-873A-48A4-9C4D-8AB260CAD881}"/>
                    </c:ext>
                  </c:extLst>
                </c:dPt>
                <c:dPt>
                  <c:idx val="28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93-873A-48A4-9C4D-8AB260CAD881}"/>
                    </c:ext>
                  </c:extLst>
                </c:dPt>
                <c:dPt>
                  <c:idx val="28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95-873A-48A4-9C4D-8AB260CAD881}"/>
                    </c:ext>
                  </c:extLst>
                </c:dPt>
                <c:dPt>
                  <c:idx val="28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97-873A-48A4-9C4D-8AB260CAD881}"/>
                    </c:ext>
                  </c:extLst>
                </c:dPt>
                <c:dPt>
                  <c:idx val="28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99-873A-48A4-9C4D-8AB260CAD881}"/>
                    </c:ext>
                  </c:extLst>
                </c:dPt>
                <c:dPt>
                  <c:idx val="28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9B-873A-48A4-9C4D-8AB260CAD881}"/>
                    </c:ext>
                  </c:extLst>
                </c:dPt>
                <c:dPt>
                  <c:idx val="28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9D-873A-48A4-9C4D-8AB260CAD881}"/>
                    </c:ext>
                  </c:extLst>
                </c:dPt>
                <c:dPt>
                  <c:idx val="28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9F-873A-48A4-9C4D-8AB260CAD881}"/>
                    </c:ext>
                  </c:extLst>
                </c:dPt>
                <c:dPt>
                  <c:idx val="28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A1-873A-48A4-9C4D-8AB260CAD881}"/>
                    </c:ext>
                  </c:extLst>
                </c:dPt>
                <c:dPt>
                  <c:idx val="29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A3-873A-48A4-9C4D-8AB260CAD881}"/>
                    </c:ext>
                  </c:extLst>
                </c:dPt>
                <c:dPt>
                  <c:idx val="29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A5-873A-48A4-9C4D-8AB260CAD881}"/>
                    </c:ext>
                  </c:extLst>
                </c:dPt>
                <c:dPt>
                  <c:idx val="29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A7-873A-48A4-9C4D-8AB260CAD881}"/>
                    </c:ext>
                  </c:extLst>
                </c:dPt>
                <c:dPt>
                  <c:idx val="29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A9-873A-48A4-9C4D-8AB260CAD881}"/>
                    </c:ext>
                  </c:extLst>
                </c:dPt>
                <c:dPt>
                  <c:idx val="29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AB-873A-48A4-9C4D-8AB260CAD881}"/>
                    </c:ext>
                  </c:extLst>
                </c:dPt>
                <c:dPt>
                  <c:idx val="29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AD-873A-48A4-9C4D-8AB260CAD881}"/>
                    </c:ext>
                  </c:extLst>
                </c:dPt>
                <c:dPt>
                  <c:idx val="29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AF-873A-48A4-9C4D-8AB260CAD881}"/>
                    </c:ext>
                  </c:extLst>
                </c:dPt>
                <c:dPt>
                  <c:idx val="29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B1-873A-48A4-9C4D-8AB260CAD881}"/>
                    </c:ext>
                  </c:extLst>
                </c:dPt>
                <c:dPt>
                  <c:idx val="29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B3-873A-48A4-9C4D-8AB260CAD881}"/>
                    </c:ext>
                  </c:extLst>
                </c:dPt>
                <c:dPt>
                  <c:idx val="29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B5-873A-48A4-9C4D-8AB260CAD881}"/>
                    </c:ext>
                  </c:extLst>
                </c:dPt>
                <c:dPt>
                  <c:idx val="30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B7-873A-48A4-9C4D-8AB260CAD881}"/>
                    </c:ext>
                  </c:extLst>
                </c:dPt>
                <c:dPt>
                  <c:idx val="30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B9-873A-48A4-9C4D-8AB260CAD881}"/>
                    </c:ext>
                  </c:extLst>
                </c:dPt>
                <c:dPt>
                  <c:idx val="30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BB-873A-48A4-9C4D-8AB260CAD881}"/>
                    </c:ext>
                  </c:extLst>
                </c:dPt>
                <c:dPt>
                  <c:idx val="30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BD-873A-48A4-9C4D-8AB260CAD881}"/>
                    </c:ext>
                  </c:extLst>
                </c:dPt>
                <c:dPt>
                  <c:idx val="30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BF-873A-48A4-9C4D-8AB260CAD881}"/>
                    </c:ext>
                  </c:extLst>
                </c:dPt>
                <c:dPt>
                  <c:idx val="30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C1-873A-48A4-9C4D-8AB260CAD881}"/>
                    </c:ext>
                  </c:extLst>
                </c:dPt>
                <c:dPt>
                  <c:idx val="30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C3-873A-48A4-9C4D-8AB260CAD881}"/>
                    </c:ext>
                  </c:extLst>
                </c:dPt>
                <c:dPt>
                  <c:idx val="30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C5-873A-48A4-9C4D-8AB260CAD881}"/>
                    </c:ext>
                  </c:extLst>
                </c:dPt>
                <c:dPt>
                  <c:idx val="30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C7-873A-48A4-9C4D-8AB260CAD881}"/>
                    </c:ext>
                  </c:extLst>
                </c:dPt>
                <c:dPt>
                  <c:idx val="30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C9-873A-48A4-9C4D-8AB260CAD881}"/>
                    </c:ext>
                  </c:extLst>
                </c:dPt>
                <c:dPt>
                  <c:idx val="31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CB-873A-48A4-9C4D-8AB260CAD881}"/>
                    </c:ext>
                  </c:extLst>
                </c:dPt>
                <c:dPt>
                  <c:idx val="31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CD-873A-48A4-9C4D-8AB260CAD881}"/>
                    </c:ext>
                  </c:extLst>
                </c:dPt>
                <c:dPt>
                  <c:idx val="31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CF-873A-48A4-9C4D-8AB260CAD881}"/>
                    </c:ext>
                  </c:extLst>
                </c:dPt>
                <c:dPt>
                  <c:idx val="31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D1-873A-48A4-9C4D-8AB260CAD881}"/>
                    </c:ext>
                  </c:extLst>
                </c:dPt>
                <c:dPt>
                  <c:idx val="31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D3-873A-48A4-9C4D-8AB260CAD881}"/>
                    </c:ext>
                  </c:extLst>
                </c:dPt>
                <c:dPt>
                  <c:idx val="31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D5-873A-48A4-9C4D-8AB260CAD881}"/>
                    </c:ext>
                  </c:extLst>
                </c:dPt>
                <c:dPt>
                  <c:idx val="31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D7-873A-48A4-9C4D-8AB260CAD881}"/>
                    </c:ext>
                  </c:extLst>
                </c:dPt>
                <c:dPt>
                  <c:idx val="31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D9-873A-48A4-9C4D-8AB260CAD881}"/>
                    </c:ext>
                  </c:extLst>
                </c:dPt>
                <c:dPt>
                  <c:idx val="31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DB-873A-48A4-9C4D-8AB260CAD881}"/>
                    </c:ext>
                  </c:extLst>
                </c:dPt>
                <c:dPt>
                  <c:idx val="31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DD-873A-48A4-9C4D-8AB260CAD881}"/>
                    </c:ext>
                  </c:extLst>
                </c:dPt>
                <c:dPt>
                  <c:idx val="32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DF-873A-48A4-9C4D-8AB260CAD881}"/>
                    </c:ext>
                  </c:extLst>
                </c:dPt>
                <c:dPt>
                  <c:idx val="32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E1-873A-48A4-9C4D-8AB260CAD881}"/>
                    </c:ext>
                  </c:extLst>
                </c:dPt>
                <c:dPt>
                  <c:idx val="32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E3-873A-48A4-9C4D-8AB260CAD881}"/>
                    </c:ext>
                  </c:extLst>
                </c:dPt>
                <c:dPt>
                  <c:idx val="32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E5-873A-48A4-9C4D-8AB260CAD881}"/>
                    </c:ext>
                  </c:extLst>
                </c:dPt>
                <c:dPt>
                  <c:idx val="32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E7-873A-48A4-9C4D-8AB260CAD881}"/>
                    </c:ext>
                  </c:extLst>
                </c:dPt>
                <c:dPt>
                  <c:idx val="32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E9-873A-48A4-9C4D-8AB260CAD881}"/>
                    </c:ext>
                  </c:extLst>
                </c:dPt>
                <c:dPt>
                  <c:idx val="32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EB-873A-48A4-9C4D-8AB260CAD881}"/>
                    </c:ext>
                  </c:extLst>
                </c:dPt>
                <c:dPt>
                  <c:idx val="32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ED-873A-48A4-9C4D-8AB260CAD881}"/>
                    </c:ext>
                  </c:extLst>
                </c:dPt>
                <c:dPt>
                  <c:idx val="32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EF-873A-48A4-9C4D-8AB260CAD881}"/>
                    </c:ext>
                  </c:extLst>
                </c:dPt>
                <c:dPt>
                  <c:idx val="32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F1-873A-48A4-9C4D-8AB260CAD881}"/>
                    </c:ext>
                  </c:extLst>
                </c:dPt>
                <c:dPt>
                  <c:idx val="33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F3-873A-48A4-9C4D-8AB260CAD881}"/>
                    </c:ext>
                  </c:extLst>
                </c:dPt>
                <c:dPt>
                  <c:idx val="33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F5-873A-48A4-9C4D-8AB260CAD881}"/>
                    </c:ext>
                  </c:extLst>
                </c:dPt>
                <c:dPt>
                  <c:idx val="33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F7-873A-48A4-9C4D-8AB260CAD881}"/>
                    </c:ext>
                  </c:extLst>
                </c:dPt>
                <c:dPt>
                  <c:idx val="33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F9-873A-48A4-9C4D-8AB260CAD881}"/>
                    </c:ext>
                  </c:extLst>
                </c:dPt>
                <c:dPt>
                  <c:idx val="33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FB-873A-48A4-9C4D-8AB260CAD881}"/>
                    </c:ext>
                  </c:extLst>
                </c:dPt>
                <c:dPt>
                  <c:idx val="33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FD-873A-48A4-9C4D-8AB260CAD881}"/>
                    </c:ext>
                  </c:extLst>
                </c:dPt>
                <c:dPt>
                  <c:idx val="33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FF-873A-48A4-9C4D-8AB260CAD881}"/>
                    </c:ext>
                  </c:extLst>
                </c:dPt>
                <c:dPt>
                  <c:idx val="33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01-873A-48A4-9C4D-8AB260CAD881}"/>
                    </c:ext>
                  </c:extLst>
                </c:dPt>
                <c:dPt>
                  <c:idx val="33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03-873A-48A4-9C4D-8AB260CAD881}"/>
                    </c:ext>
                  </c:extLst>
                </c:dPt>
                <c:dPt>
                  <c:idx val="33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05-873A-48A4-9C4D-8AB260CAD881}"/>
                    </c:ext>
                  </c:extLst>
                </c:dPt>
                <c:dPt>
                  <c:idx val="34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07-873A-48A4-9C4D-8AB260CAD881}"/>
                    </c:ext>
                  </c:extLst>
                </c:dPt>
                <c:dPt>
                  <c:idx val="34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09-873A-48A4-9C4D-8AB260CAD881}"/>
                    </c:ext>
                  </c:extLst>
                </c:dPt>
                <c:dPt>
                  <c:idx val="34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0B-873A-48A4-9C4D-8AB260CAD881}"/>
                    </c:ext>
                  </c:extLst>
                </c:dPt>
                <c:dPt>
                  <c:idx val="34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0D-873A-48A4-9C4D-8AB260CAD881}"/>
                    </c:ext>
                  </c:extLst>
                </c:dPt>
                <c:dPt>
                  <c:idx val="34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0F-873A-48A4-9C4D-8AB260CAD881}"/>
                    </c:ext>
                  </c:extLst>
                </c:dPt>
                <c:dPt>
                  <c:idx val="34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11-873A-48A4-9C4D-8AB260CAD881}"/>
                    </c:ext>
                  </c:extLst>
                </c:dPt>
                <c:dPt>
                  <c:idx val="34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13-873A-48A4-9C4D-8AB260CAD881}"/>
                    </c:ext>
                  </c:extLst>
                </c:dPt>
                <c:dPt>
                  <c:idx val="34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15-873A-48A4-9C4D-8AB260CAD881}"/>
                    </c:ext>
                  </c:extLst>
                </c:dPt>
                <c:dPt>
                  <c:idx val="34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17-873A-48A4-9C4D-8AB260CAD881}"/>
                    </c:ext>
                  </c:extLst>
                </c:dPt>
                <c:dPt>
                  <c:idx val="34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19-873A-48A4-9C4D-8AB260CAD881}"/>
                    </c:ext>
                  </c:extLst>
                </c:dPt>
                <c:dPt>
                  <c:idx val="35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1B-873A-48A4-9C4D-8AB260CAD881}"/>
                    </c:ext>
                  </c:extLst>
                </c:dPt>
                <c:dPt>
                  <c:idx val="35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1D-873A-48A4-9C4D-8AB260CAD881}"/>
                    </c:ext>
                  </c:extLst>
                </c:dPt>
                <c:dPt>
                  <c:idx val="35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1F-873A-48A4-9C4D-8AB260CAD881}"/>
                    </c:ext>
                  </c:extLst>
                </c:dPt>
                <c:dPt>
                  <c:idx val="35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21-873A-48A4-9C4D-8AB260CAD881}"/>
                    </c:ext>
                  </c:extLst>
                </c:dPt>
                <c:dPt>
                  <c:idx val="35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23-873A-48A4-9C4D-8AB260CAD881}"/>
                    </c:ext>
                  </c:extLst>
                </c:dPt>
                <c:dPt>
                  <c:idx val="35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25-873A-48A4-9C4D-8AB260CAD881}"/>
                    </c:ext>
                  </c:extLst>
                </c:dPt>
                <c:dPt>
                  <c:idx val="35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27-873A-48A4-9C4D-8AB260CAD881}"/>
                    </c:ext>
                  </c:extLst>
                </c:dPt>
                <c:dPt>
                  <c:idx val="35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29-873A-48A4-9C4D-8AB260CAD881}"/>
                    </c:ext>
                  </c:extLst>
                </c:dPt>
                <c:dPt>
                  <c:idx val="35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2B-873A-48A4-9C4D-8AB260CAD881}"/>
                    </c:ext>
                  </c:extLst>
                </c:dPt>
                <c:dPt>
                  <c:idx val="35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2D-873A-48A4-9C4D-8AB260CAD881}"/>
                    </c:ext>
                  </c:extLst>
                </c:dPt>
                <c:dPt>
                  <c:idx val="36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2F-873A-48A4-9C4D-8AB260CAD881}"/>
                    </c:ext>
                  </c:extLst>
                </c:dPt>
                <c:dPt>
                  <c:idx val="36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31-873A-48A4-9C4D-8AB260CAD881}"/>
                    </c:ext>
                  </c:extLst>
                </c:dPt>
                <c:dPt>
                  <c:idx val="36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33-873A-48A4-9C4D-8AB260CAD881}"/>
                    </c:ext>
                  </c:extLst>
                </c:dPt>
                <c:dPt>
                  <c:idx val="36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35-873A-48A4-9C4D-8AB260CAD881}"/>
                    </c:ext>
                  </c:extLst>
                </c:dPt>
                <c:dPt>
                  <c:idx val="36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37-873A-48A4-9C4D-8AB260CAD881}"/>
                    </c:ext>
                  </c:extLst>
                </c:dPt>
                <c:dPt>
                  <c:idx val="36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39-873A-48A4-9C4D-8AB260CAD881}"/>
                    </c:ext>
                  </c:extLst>
                </c:dPt>
                <c:dPt>
                  <c:idx val="36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3B-873A-48A4-9C4D-8AB260CAD881}"/>
                    </c:ext>
                  </c:extLst>
                </c:dPt>
                <c:dPt>
                  <c:idx val="36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3D-873A-48A4-9C4D-8AB260CAD881}"/>
                    </c:ext>
                  </c:extLst>
                </c:dPt>
                <c:dPt>
                  <c:idx val="36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3F-873A-48A4-9C4D-8AB260CAD881}"/>
                    </c:ext>
                  </c:extLst>
                </c:dPt>
                <c:dPt>
                  <c:idx val="36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41-873A-48A4-9C4D-8AB260CAD881}"/>
                    </c:ext>
                  </c:extLst>
                </c:dPt>
                <c:dPt>
                  <c:idx val="37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43-873A-48A4-9C4D-8AB260CAD881}"/>
                    </c:ext>
                  </c:extLst>
                </c:dPt>
                <c:dPt>
                  <c:idx val="37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45-873A-48A4-9C4D-8AB260CAD881}"/>
                    </c:ext>
                  </c:extLst>
                </c:dPt>
                <c:dPt>
                  <c:idx val="37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47-873A-48A4-9C4D-8AB260CAD881}"/>
                    </c:ext>
                  </c:extLst>
                </c:dPt>
                <c:dPt>
                  <c:idx val="37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49-873A-48A4-9C4D-8AB260CAD881}"/>
                    </c:ext>
                  </c:extLst>
                </c:dPt>
                <c:dPt>
                  <c:idx val="37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4B-873A-48A4-9C4D-8AB260CAD881}"/>
                    </c:ext>
                  </c:extLst>
                </c:dPt>
                <c:dPt>
                  <c:idx val="37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4D-873A-48A4-9C4D-8AB260CAD881}"/>
                    </c:ext>
                  </c:extLst>
                </c:dPt>
                <c:dPt>
                  <c:idx val="37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4F-873A-48A4-9C4D-8AB260CAD881}"/>
                    </c:ext>
                  </c:extLst>
                </c:dPt>
                <c:dPt>
                  <c:idx val="37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51-873A-48A4-9C4D-8AB260CAD881}"/>
                    </c:ext>
                  </c:extLst>
                </c:dPt>
                <c:dPt>
                  <c:idx val="37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53-873A-48A4-9C4D-8AB260CAD881}"/>
                    </c:ext>
                  </c:extLst>
                </c:dPt>
                <c:dPt>
                  <c:idx val="37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55-873A-48A4-9C4D-8AB260CAD881}"/>
                    </c:ext>
                  </c:extLst>
                </c:dPt>
                <c:dPt>
                  <c:idx val="38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57-873A-48A4-9C4D-8AB260CAD881}"/>
                    </c:ext>
                  </c:extLst>
                </c:dPt>
                <c:dPt>
                  <c:idx val="38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59-873A-48A4-9C4D-8AB260CAD881}"/>
                    </c:ext>
                  </c:extLst>
                </c:dPt>
                <c:dPt>
                  <c:idx val="38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5B-873A-48A4-9C4D-8AB260CAD881}"/>
                    </c:ext>
                  </c:extLst>
                </c:dPt>
                <c:dPt>
                  <c:idx val="38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5D-873A-48A4-9C4D-8AB260CAD881}"/>
                    </c:ext>
                  </c:extLst>
                </c:dPt>
                <c:dPt>
                  <c:idx val="38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5F-873A-48A4-9C4D-8AB260CAD881}"/>
                    </c:ext>
                  </c:extLst>
                </c:dPt>
                <c:dPt>
                  <c:idx val="38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61-873A-48A4-9C4D-8AB260CAD881}"/>
                    </c:ext>
                  </c:extLst>
                </c:dPt>
                <c:dPt>
                  <c:idx val="38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63-873A-48A4-9C4D-8AB260CAD881}"/>
                    </c:ext>
                  </c:extLst>
                </c:dPt>
                <c:dPt>
                  <c:idx val="38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65-873A-48A4-9C4D-8AB260CAD881}"/>
                    </c:ext>
                  </c:extLst>
                </c:dPt>
                <c:dPt>
                  <c:idx val="38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67-873A-48A4-9C4D-8AB260CAD881}"/>
                    </c:ext>
                  </c:extLst>
                </c:dPt>
                <c:dPt>
                  <c:idx val="38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69-873A-48A4-9C4D-8AB260CAD881}"/>
                    </c:ext>
                  </c:extLst>
                </c:dPt>
                <c:dPt>
                  <c:idx val="39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6B-873A-48A4-9C4D-8AB260CAD881}"/>
                    </c:ext>
                  </c:extLst>
                </c:dPt>
                <c:dPt>
                  <c:idx val="39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6D-873A-48A4-9C4D-8AB260CAD881}"/>
                    </c:ext>
                  </c:extLst>
                </c:dPt>
                <c:dPt>
                  <c:idx val="39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6F-873A-48A4-9C4D-8AB260CAD881}"/>
                    </c:ext>
                  </c:extLst>
                </c:dPt>
                <c:dPt>
                  <c:idx val="39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71-873A-48A4-9C4D-8AB260CAD881}"/>
                    </c:ext>
                  </c:extLst>
                </c:dPt>
                <c:dPt>
                  <c:idx val="39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73-873A-48A4-9C4D-8AB260CAD881}"/>
                    </c:ext>
                  </c:extLst>
                </c:dPt>
                <c:dPt>
                  <c:idx val="39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75-873A-48A4-9C4D-8AB260CAD881}"/>
                    </c:ext>
                  </c:extLst>
                </c:dPt>
                <c:dPt>
                  <c:idx val="39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77-873A-48A4-9C4D-8AB260CAD881}"/>
                    </c:ext>
                  </c:extLst>
                </c:dPt>
                <c:dPt>
                  <c:idx val="39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79-873A-48A4-9C4D-8AB260CAD881}"/>
                    </c:ext>
                  </c:extLst>
                </c:dPt>
                <c:dPt>
                  <c:idx val="39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7B-873A-48A4-9C4D-8AB260CAD881}"/>
                    </c:ext>
                  </c:extLst>
                </c:dPt>
                <c:dPt>
                  <c:idx val="39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7D-873A-48A4-9C4D-8AB260CAD881}"/>
                    </c:ext>
                  </c:extLst>
                </c:dPt>
                <c:dPt>
                  <c:idx val="40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7F-873A-48A4-9C4D-8AB260CAD881}"/>
                    </c:ext>
                  </c:extLst>
                </c:dPt>
                <c:dPt>
                  <c:idx val="40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81-873A-48A4-9C4D-8AB260CAD881}"/>
                    </c:ext>
                  </c:extLst>
                </c:dPt>
                <c:dPt>
                  <c:idx val="40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83-873A-48A4-9C4D-8AB260CAD881}"/>
                    </c:ext>
                  </c:extLst>
                </c:dPt>
                <c:dPt>
                  <c:idx val="40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85-873A-48A4-9C4D-8AB260CAD881}"/>
                    </c:ext>
                  </c:extLst>
                </c:dPt>
                <c:dPt>
                  <c:idx val="40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87-873A-48A4-9C4D-8AB260CAD881}"/>
                    </c:ext>
                  </c:extLst>
                </c:dPt>
                <c:dPt>
                  <c:idx val="40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89-873A-48A4-9C4D-8AB260CAD881}"/>
                    </c:ext>
                  </c:extLst>
                </c:dPt>
                <c:dPt>
                  <c:idx val="40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8B-873A-48A4-9C4D-8AB260CAD881}"/>
                    </c:ext>
                  </c:extLst>
                </c:dPt>
                <c:dPt>
                  <c:idx val="40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8D-873A-48A4-9C4D-8AB260CAD881}"/>
                    </c:ext>
                  </c:extLst>
                </c:dPt>
                <c:dPt>
                  <c:idx val="40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8F-873A-48A4-9C4D-8AB260CAD881}"/>
                    </c:ext>
                  </c:extLst>
                </c:dPt>
                <c:dPt>
                  <c:idx val="40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91-873A-48A4-9C4D-8AB260CAD881}"/>
                    </c:ext>
                  </c:extLst>
                </c:dPt>
                <c:dPt>
                  <c:idx val="41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93-873A-48A4-9C4D-8AB260CAD881}"/>
                    </c:ext>
                  </c:extLst>
                </c:dPt>
                <c:dPt>
                  <c:idx val="41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95-873A-48A4-9C4D-8AB260CAD881}"/>
                    </c:ext>
                  </c:extLst>
                </c:dPt>
                <c:dPt>
                  <c:idx val="41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97-873A-48A4-9C4D-8AB260CAD881}"/>
                    </c:ext>
                  </c:extLst>
                </c:dPt>
                <c:dPt>
                  <c:idx val="41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99-873A-48A4-9C4D-8AB260CAD881}"/>
                    </c:ext>
                  </c:extLst>
                </c:dPt>
                <c:dPt>
                  <c:idx val="41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9B-873A-48A4-9C4D-8AB260CAD881}"/>
                    </c:ext>
                  </c:extLst>
                </c:dPt>
                <c:dPt>
                  <c:idx val="41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9D-873A-48A4-9C4D-8AB260CAD881}"/>
                    </c:ext>
                  </c:extLst>
                </c:dPt>
                <c:dPt>
                  <c:idx val="41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9F-873A-48A4-9C4D-8AB260CAD881}"/>
                    </c:ext>
                  </c:extLst>
                </c:dPt>
                <c:dPt>
                  <c:idx val="41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A1-873A-48A4-9C4D-8AB260CAD881}"/>
                    </c:ext>
                  </c:extLst>
                </c:dPt>
                <c:dPt>
                  <c:idx val="41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A3-873A-48A4-9C4D-8AB260CAD881}"/>
                    </c:ext>
                  </c:extLst>
                </c:dPt>
                <c:dPt>
                  <c:idx val="41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A5-873A-48A4-9C4D-8AB260CAD881}"/>
                    </c:ext>
                  </c:extLst>
                </c:dPt>
                <c:dPt>
                  <c:idx val="42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A7-873A-48A4-9C4D-8AB260CAD881}"/>
                    </c:ext>
                  </c:extLst>
                </c:dPt>
                <c:dPt>
                  <c:idx val="42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A9-873A-48A4-9C4D-8AB260CAD881}"/>
                    </c:ext>
                  </c:extLst>
                </c:dPt>
                <c:dPt>
                  <c:idx val="42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AB-873A-48A4-9C4D-8AB260CAD881}"/>
                    </c:ext>
                  </c:extLst>
                </c:dPt>
                <c:dPt>
                  <c:idx val="42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AD-873A-48A4-9C4D-8AB260CAD881}"/>
                    </c:ext>
                  </c:extLst>
                </c:dPt>
                <c:dPt>
                  <c:idx val="42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AF-873A-48A4-9C4D-8AB260CAD881}"/>
                    </c:ext>
                  </c:extLst>
                </c:dPt>
                <c:dPt>
                  <c:idx val="42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B1-873A-48A4-9C4D-8AB260CAD881}"/>
                    </c:ext>
                  </c:extLst>
                </c:dPt>
                <c:dPt>
                  <c:idx val="42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B3-873A-48A4-9C4D-8AB260CAD881}"/>
                    </c:ext>
                  </c:extLst>
                </c:dPt>
                <c:dPt>
                  <c:idx val="42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B5-873A-48A4-9C4D-8AB260CAD881}"/>
                    </c:ext>
                  </c:extLst>
                </c:dPt>
                <c:dPt>
                  <c:idx val="42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B7-873A-48A4-9C4D-8AB260CAD881}"/>
                    </c:ext>
                  </c:extLst>
                </c:dPt>
                <c:dPt>
                  <c:idx val="42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B9-873A-48A4-9C4D-8AB260CAD881}"/>
                    </c:ext>
                  </c:extLst>
                </c:dPt>
                <c:dPt>
                  <c:idx val="43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BB-873A-48A4-9C4D-8AB260CAD881}"/>
                    </c:ext>
                  </c:extLst>
                </c:dPt>
                <c:dPt>
                  <c:idx val="43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BD-873A-48A4-9C4D-8AB260CAD881}"/>
                    </c:ext>
                  </c:extLst>
                </c:dPt>
                <c:dPt>
                  <c:idx val="43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BF-873A-48A4-9C4D-8AB260CAD881}"/>
                    </c:ext>
                  </c:extLst>
                </c:dPt>
                <c:dPt>
                  <c:idx val="43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C1-873A-48A4-9C4D-8AB260CAD881}"/>
                    </c:ext>
                  </c:extLst>
                </c:dPt>
                <c:dPt>
                  <c:idx val="43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C3-873A-48A4-9C4D-8AB260CAD881}"/>
                    </c:ext>
                  </c:extLst>
                </c:dPt>
                <c:dPt>
                  <c:idx val="43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C5-873A-48A4-9C4D-8AB260CAD881}"/>
                    </c:ext>
                  </c:extLst>
                </c:dPt>
                <c:dPt>
                  <c:idx val="43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C7-873A-48A4-9C4D-8AB260CAD881}"/>
                    </c:ext>
                  </c:extLst>
                </c:dPt>
                <c:dPt>
                  <c:idx val="43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C9-873A-48A4-9C4D-8AB260CAD881}"/>
                    </c:ext>
                  </c:extLst>
                </c:dPt>
                <c:dPt>
                  <c:idx val="43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CB-873A-48A4-9C4D-8AB260CAD881}"/>
                    </c:ext>
                  </c:extLst>
                </c:dPt>
                <c:dPt>
                  <c:idx val="43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CD-873A-48A4-9C4D-8AB260CAD881}"/>
                    </c:ext>
                  </c:extLst>
                </c:dPt>
                <c:dPt>
                  <c:idx val="44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CF-873A-48A4-9C4D-8AB260CAD881}"/>
                    </c:ext>
                  </c:extLst>
                </c:dPt>
                <c:dPt>
                  <c:idx val="44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D1-873A-48A4-9C4D-8AB260CAD881}"/>
                    </c:ext>
                  </c:extLst>
                </c:dPt>
                <c:dPt>
                  <c:idx val="44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D3-873A-48A4-9C4D-8AB260CAD881}"/>
                    </c:ext>
                  </c:extLst>
                </c:dPt>
                <c:dPt>
                  <c:idx val="44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D5-873A-48A4-9C4D-8AB260CAD881}"/>
                    </c:ext>
                  </c:extLst>
                </c:dPt>
                <c:dPt>
                  <c:idx val="44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D7-873A-48A4-9C4D-8AB260CAD881}"/>
                    </c:ext>
                  </c:extLst>
                </c:dPt>
                <c:dPt>
                  <c:idx val="44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D9-873A-48A4-9C4D-8AB260CAD881}"/>
                    </c:ext>
                  </c:extLst>
                </c:dPt>
                <c:dPt>
                  <c:idx val="44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DB-873A-48A4-9C4D-8AB260CAD881}"/>
                    </c:ext>
                  </c:extLst>
                </c:dPt>
                <c:dPt>
                  <c:idx val="44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DD-873A-48A4-9C4D-8AB260CAD881}"/>
                    </c:ext>
                  </c:extLst>
                </c:dPt>
                <c:dPt>
                  <c:idx val="44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DF-873A-48A4-9C4D-8AB260CAD881}"/>
                    </c:ext>
                  </c:extLst>
                </c:dPt>
                <c:dPt>
                  <c:idx val="44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E1-873A-48A4-9C4D-8AB260CAD881}"/>
                    </c:ext>
                  </c:extLst>
                </c:dPt>
                <c:dPt>
                  <c:idx val="45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E3-873A-48A4-9C4D-8AB260CAD881}"/>
                    </c:ext>
                  </c:extLst>
                </c:dPt>
                <c:dPt>
                  <c:idx val="45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E5-873A-48A4-9C4D-8AB260CAD881}"/>
                    </c:ext>
                  </c:extLst>
                </c:dPt>
                <c:dPt>
                  <c:idx val="45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E7-873A-48A4-9C4D-8AB260CAD881}"/>
                    </c:ext>
                  </c:extLst>
                </c:dPt>
                <c:dPt>
                  <c:idx val="45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E9-873A-48A4-9C4D-8AB260CAD881}"/>
                    </c:ext>
                  </c:extLst>
                </c:dPt>
                <c:dPt>
                  <c:idx val="45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EB-873A-48A4-9C4D-8AB260CAD881}"/>
                    </c:ext>
                  </c:extLst>
                </c:dPt>
                <c:dPt>
                  <c:idx val="45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ED-873A-48A4-9C4D-8AB260CAD881}"/>
                    </c:ext>
                  </c:extLst>
                </c:dPt>
                <c:dPt>
                  <c:idx val="45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EF-873A-48A4-9C4D-8AB260CAD881}"/>
                    </c:ext>
                  </c:extLst>
                </c:dPt>
                <c:dPt>
                  <c:idx val="45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F1-873A-48A4-9C4D-8AB260CAD881}"/>
                    </c:ext>
                  </c:extLst>
                </c:dPt>
                <c:dPt>
                  <c:idx val="45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F3-873A-48A4-9C4D-8AB260CAD881}"/>
                    </c:ext>
                  </c:extLst>
                </c:dPt>
                <c:dPt>
                  <c:idx val="45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F5-873A-48A4-9C4D-8AB260CAD881}"/>
                    </c:ext>
                  </c:extLst>
                </c:dPt>
                <c:dPt>
                  <c:idx val="46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F7-873A-48A4-9C4D-8AB260CAD881}"/>
                    </c:ext>
                  </c:extLst>
                </c:dPt>
                <c:dPt>
                  <c:idx val="46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F9-873A-48A4-9C4D-8AB260CAD881}"/>
                    </c:ext>
                  </c:extLst>
                </c:dPt>
                <c:dPt>
                  <c:idx val="46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FB-873A-48A4-9C4D-8AB260CAD881}"/>
                    </c:ext>
                  </c:extLst>
                </c:dPt>
                <c:dPt>
                  <c:idx val="46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FD-873A-48A4-9C4D-8AB260CAD881}"/>
                    </c:ext>
                  </c:extLst>
                </c:dPt>
                <c:dPt>
                  <c:idx val="46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FF-873A-48A4-9C4D-8AB260CAD881}"/>
                    </c:ext>
                  </c:extLst>
                </c:dPt>
                <c:dPt>
                  <c:idx val="46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01-873A-48A4-9C4D-8AB260CAD881}"/>
                    </c:ext>
                  </c:extLst>
                </c:dPt>
                <c:dPt>
                  <c:idx val="46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03-873A-48A4-9C4D-8AB260CAD881}"/>
                    </c:ext>
                  </c:extLst>
                </c:dPt>
                <c:dPt>
                  <c:idx val="46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05-873A-48A4-9C4D-8AB260CAD881}"/>
                    </c:ext>
                  </c:extLst>
                </c:dPt>
                <c:dPt>
                  <c:idx val="46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07-873A-48A4-9C4D-8AB260CAD881}"/>
                    </c:ext>
                  </c:extLst>
                </c:dPt>
                <c:dPt>
                  <c:idx val="46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09-873A-48A4-9C4D-8AB260CAD881}"/>
                    </c:ext>
                  </c:extLst>
                </c:dPt>
                <c:dPt>
                  <c:idx val="47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0B-873A-48A4-9C4D-8AB260CAD881}"/>
                    </c:ext>
                  </c:extLst>
                </c:dPt>
                <c:dPt>
                  <c:idx val="47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0D-873A-48A4-9C4D-8AB260CAD881}"/>
                    </c:ext>
                  </c:extLst>
                </c:dPt>
                <c:dPt>
                  <c:idx val="47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0F-873A-48A4-9C4D-8AB260CAD881}"/>
                    </c:ext>
                  </c:extLst>
                </c:dPt>
                <c:dPt>
                  <c:idx val="47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11-873A-48A4-9C4D-8AB260CAD881}"/>
                    </c:ext>
                  </c:extLst>
                </c:dPt>
                <c:dPt>
                  <c:idx val="47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13-873A-48A4-9C4D-8AB260CAD881}"/>
                    </c:ext>
                  </c:extLst>
                </c:dPt>
                <c:dPt>
                  <c:idx val="47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15-873A-48A4-9C4D-8AB260CAD881}"/>
                    </c:ext>
                  </c:extLst>
                </c:dPt>
                <c:dPt>
                  <c:idx val="47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17-873A-48A4-9C4D-8AB260CAD881}"/>
                    </c:ext>
                  </c:extLst>
                </c:dPt>
                <c:dPt>
                  <c:idx val="47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19-873A-48A4-9C4D-8AB260CAD881}"/>
                    </c:ext>
                  </c:extLst>
                </c:dPt>
                <c:dPt>
                  <c:idx val="47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1B-873A-48A4-9C4D-8AB260CAD881}"/>
                    </c:ext>
                  </c:extLst>
                </c:dPt>
                <c:dPt>
                  <c:idx val="47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1D-873A-48A4-9C4D-8AB260CAD881}"/>
                    </c:ext>
                  </c:extLst>
                </c:dPt>
                <c:dPt>
                  <c:idx val="48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1F-873A-48A4-9C4D-8AB260CAD881}"/>
                    </c:ext>
                  </c:extLst>
                </c:dPt>
                <c:dPt>
                  <c:idx val="48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21-873A-48A4-9C4D-8AB260CAD881}"/>
                    </c:ext>
                  </c:extLst>
                </c:dPt>
                <c:dPt>
                  <c:idx val="48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23-873A-48A4-9C4D-8AB260CAD881}"/>
                    </c:ext>
                  </c:extLst>
                </c:dPt>
                <c:dPt>
                  <c:idx val="48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25-873A-48A4-9C4D-8AB260CAD881}"/>
                    </c:ext>
                  </c:extLst>
                </c:dPt>
                <c:dPt>
                  <c:idx val="48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27-873A-48A4-9C4D-8AB260CAD881}"/>
                    </c:ext>
                  </c:extLst>
                </c:dPt>
                <c:dPt>
                  <c:idx val="48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29-873A-48A4-9C4D-8AB260CAD881}"/>
                    </c:ext>
                  </c:extLst>
                </c:dPt>
                <c:dPt>
                  <c:idx val="48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2B-873A-48A4-9C4D-8AB260CAD881}"/>
                    </c:ext>
                  </c:extLst>
                </c:dPt>
                <c:dPt>
                  <c:idx val="48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2D-873A-48A4-9C4D-8AB260CAD881}"/>
                    </c:ext>
                  </c:extLst>
                </c:dPt>
                <c:dPt>
                  <c:idx val="48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2F-873A-48A4-9C4D-8AB260CAD881}"/>
                    </c:ext>
                  </c:extLst>
                </c:dPt>
                <c:dPt>
                  <c:idx val="48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31-873A-48A4-9C4D-8AB260CAD881}"/>
                    </c:ext>
                  </c:extLst>
                </c:dPt>
                <c:dPt>
                  <c:idx val="49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33-873A-48A4-9C4D-8AB260CAD881}"/>
                    </c:ext>
                  </c:extLst>
                </c:dPt>
                <c:dPt>
                  <c:idx val="49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35-873A-48A4-9C4D-8AB260CAD881}"/>
                    </c:ext>
                  </c:extLst>
                </c:dPt>
                <c:dPt>
                  <c:idx val="49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37-873A-48A4-9C4D-8AB260CAD881}"/>
                    </c:ext>
                  </c:extLst>
                </c:dPt>
                <c:dPt>
                  <c:idx val="49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39-873A-48A4-9C4D-8AB260CAD881}"/>
                    </c:ext>
                  </c:extLst>
                </c:dPt>
                <c:dPt>
                  <c:idx val="49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3B-873A-48A4-9C4D-8AB260CAD881}"/>
                    </c:ext>
                  </c:extLst>
                </c:dPt>
                <c:dPt>
                  <c:idx val="49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3D-873A-48A4-9C4D-8AB260CAD881}"/>
                    </c:ext>
                  </c:extLst>
                </c:dPt>
                <c:dPt>
                  <c:idx val="49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3F-873A-48A4-9C4D-8AB260CAD881}"/>
                    </c:ext>
                  </c:extLst>
                </c:dPt>
                <c:dPt>
                  <c:idx val="49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41-873A-48A4-9C4D-8AB260CAD881}"/>
                    </c:ext>
                  </c:extLst>
                </c:dPt>
                <c:dPt>
                  <c:idx val="49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43-873A-48A4-9C4D-8AB260CAD881}"/>
                    </c:ext>
                  </c:extLst>
                </c:dPt>
                <c:dPt>
                  <c:idx val="49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45-873A-48A4-9C4D-8AB260CAD881}"/>
                    </c:ext>
                  </c:extLst>
                </c:dPt>
                <c:dPt>
                  <c:idx val="50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47-873A-48A4-9C4D-8AB260CAD881}"/>
                    </c:ext>
                  </c:extLst>
                </c:dPt>
                <c:dPt>
                  <c:idx val="50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49-873A-48A4-9C4D-8AB260CAD881}"/>
                    </c:ext>
                  </c:extLst>
                </c:dPt>
                <c:dPt>
                  <c:idx val="50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4B-873A-48A4-9C4D-8AB260CAD881}"/>
                    </c:ext>
                  </c:extLst>
                </c:dPt>
                <c:dPt>
                  <c:idx val="50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4D-873A-48A4-9C4D-8AB260CAD881}"/>
                    </c:ext>
                  </c:extLst>
                </c:dPt>
                <c:dPt>
                  <c:idx val="50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4F-873A-48A4-9C4D-8AB260CAD881}"/>
                    </c:ext>
                  </c:extLst>
                </c:dPt>
                <c:dPt>
                  <c:idx val="50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51-873A-48A4-9C4D-8AB260CAD881}"/>
                    </c:ext>
                  </c:extLst>
                </c:dPt>
                <c:dPt>
                  <c:idx val="50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53-873A-48A4-9C4D-8AB260CAD881}"/>
                    </c:ext>
                  </c:extLst>
                </c:dPt>
                <c:dPt>
                  <c:idx val="50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55-873A-48A4-9C4D-8AB260CAD881}"/>
                    </c:ext>
                  </c:extLst>
                </c:dPt>
                <c:dPt>
                  <c:idx val="50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57-873A-48A4-9C4D-8AB260CAD881}"/>
                    </c:ext>
                  </c:extLst>
                </c:dPt>
                <c:dPt>
                  <c:idx val="50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59-873A-48A4-9C4D-8AB260CAD881}"/>
                    </c:ext>
                  </c:extLst>
                </c:dPt>
                <c:dPt>
                  <c:idx val="51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5B-873A-48A4-9C4D-8AB260CAD881}"/>
                    </c:ext>
                  </c:extLst>
                </c:dPt>
                <c:dPt>
                  <c:idx val="51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5D-873A-48A4-9C4D-8AB260CAD881}"/>
                    </c:ext>
                  </c:extLst>
                </c:dPt>
                <c:dPt>
                  <c:idx val="51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5F-873A-48A4-9C4D-8AB260CAD881}"/>
                    </c:ext>
                  </c:extLst>
                </c:dPt>
                <c:dPt>
                  <c:idx val="51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61-873A-48A4-9C4D-8AB260CAD881}"/>
                    </c:ext>
                  </c:extLst>
                </c:dPt>
                <c:dPt>
                  <c:idx val="51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63-873A-48A4-9C4D-8AB260CAD881}"/>
                    </c:ext>
                  </c:extLst>
                </c:dPt>
                <c:dPt>
                  <c:idx val="51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65-873A-48A4-9C4D-8AB260CAD881}"/>
                    </c:ext>
                  </c:extLst>
                </c:dPt>
                <c:dPt>
                  <c:idx val="51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67-873A-48A4-9C4D-8AB260CAD881}"/>
                    </c:ext>
                  </c:extLst>
                </c:dPt>
                <c:dPt>
                  <c:idx val="51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69-873A-48A4-9C4D-8AB260CAD881}"/>
                    </c:ext>
                  </c:extLst>
                </c:dPt>
                <c:dPt>
                  <c:idx val="51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6B-873A-48A4-9C4D-8AB260CAD881}"/>
                    </c:ext>
                  </c:extLst>
                </c:dPt>
                <c:dPt>
                  <c:idx val="51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6D-873A-48A4-9C4D-8AB260CAD881}"/>
                    </c:ext>
                  </c:extLst>
                </c:dPt>
                <c:dPt>
                  <c:idx val="52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6F-873A-48A4-9C4D-8AB260CAD881}"/>
                    </c:ext>
                  </c:extLst>
                </c:dPt>
                <c:dPt>
                  <c:idx val="52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71-873A-48A4-9C4D-8AB260CAD881}"/>
                    </c:ext>
                  </c:extLst>
                </c:dPt>
                <c:dPt>
                  <c:idx val="52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73-873A-48A4-9C4D-8AB260CAD881}"/>
                    </c:ext>
                  </c:extLst>
                </c:dPt>
                <c:dPt>
                  <c:idx val="52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75-873A-48A4-9C4D-8AB260CAD881}"/>
                    </c:ext>
                  </c:extLst>
                </c:dPt>
                <c:dPt>
                  <c:idx val="52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77-873A-48A4-9C4D-8AB260CAD881}"/>
                    </c:ext>
                  </c:extLst>
                </c:dPt>
                <c:dPt>
                  <c:idx val="52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79-873A-48A4-9C4D-8AB260CAD881}"/>
                    </c:ext>
                  </c:extLst>
                </c:dPt>
                <c:dPt>
                  <c:idx val="52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7B-873A-48A4-9C4D-8AB260CAD881}"/>
                    </c:ext>
                  </c:extLst>
                </c:dPt>
                <c:dPt>
                  <c:idx val="52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7D-873A-48A4-9C4D-8AB260CAD881}"/>
                    </c:ext>
                  </c:extLst>
                </c:dPt>
                <c:dPt>
                  <c:idx val="52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7F-873A-48A4-9C4D-8AB260CAD881}"/>
                    </c:ext>
                  </c:extLst>
                </c:dPt>
                <c:dPt>
                  <c:idx val="52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81-873A-48A4-9C4D-8AB260CAD881}"/>
                    </c:ext>
                  </c:extLst>
                </c:dPt>
                <c:dPt>
                  <c:idx val="53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83-873A-48A4-9C4D-8AB260CAD881}"/>
                    </c:ext>
                  </c:extLst>
                </c:dPt>
                <c:dPt>
                  <c:idx val="53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85-873A-48A4-9C4D-8AB260CAD881}"/>
                    </c:ext>
                  </c:extLst>
                </c:dPt>
                <c:dPt>
                  <c:idx val="53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87-873A-48A4-9C4D-8AB260CAD881}"/>
                    </c:ext>
                  </c:extLst>
                </c:dPt>
                <c:dPt>
                  <c:idx val="53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89-873A-48A4-9C4D-8AB260CAD881}"/>
                    </c:ext>
                  </c:extLst>
                </c:dPt>
                <c:dPt>
                  <c:idx val="53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8B-873A-48A4-9C4D-8AB260CAD881}"/>
                    </c:ext>
                  </c:extLst>
                </c:dPt>
                <c:dPt>
                  <c:idx val="53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8D-873A-48A4-9C4D-8AB260CAD881}"/>
                    </c:ext>
                  </c:extLst>
                </c:dPt>
                <c:dPt>
                  <c:idx val="53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8F-873A-48A4-9C4D-8AB260CAD881}"/>
                    </c:ext>
                  </c:extLst>
                </c:dPt>
                <c:dPt>
                  <c:idx val="53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91-873A-48A4-9C4D-8AB260CAD881}"/>
                    </c:ext>
                  </c:extLst>
                </c:dPt>
                <c:dPt>
                  <c:idx val="53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93-873A-48A4-9C4D-8AB260CAD881}"/>
                    </c:ext>
                  </c:extLst>
                </c:dPt>
                <c:dPt>
                  <c:idx val="53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95-873A-48A4-9C4D-8AB260CAD881}"/>
                    </c:ext>
                  </c:extLst>
                </c:dPt>
                <c:dPt>
                  <c:idx val="54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97-873A-48A4-9C4D-8AB260CAD881}"/>
                    </c:ext>
                  </c:extLst>
                </c:dPt>
                <c:dPt>
                  <c:idx val="54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99-873A-48A4-9C4D-8AB260CAD881}"/>
                    </c:ext>
                  </c:extLst>
                </c:dPt>
                <c:dPt>
                  <c:idx val="54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9B-873A-48A4-9C4D-8AB260CAD881}"/>
                    </c:ext>
                  </c:extLst>
                </c:dPt>
                <c:dPt>
                  <c:idx val="54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9D-873A-48A4-9C4D-8AB260CAD881}"/>
                    </c:ext>
                  </c:extLst>
                </c:dPt>
                <c:dPt>
                  <c:idx val="54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9F-873A-48A4-9C4D-8AB260CAD881}"/>
                    </c:ext>
                  </c:extLst>
                </c:dPt>
                <c:dPt>
                  <c:idx val="54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A1-873A-48A4-9C4D-8AB260CAD881}"/>
                    </c:ext>
                  </c:extLst>
                </c:dPt>
                <c:dPt>
                  <c:idx val="54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A3-873A-48A4-9C4D-8AB260CAD881}"/>
                    </c:ext>
                  </c:extLst>
                </c:dPt>
                <c:dPt>
                  <c:idx val="54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A5-873A-48A4-9C4D-8AB260CAD881}"/>
                    </c:ext>
                  </c:extLst>
                </c:dPt>
                <c:dPt>
                  <c:idx val="54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A7-873A-48A4-9C4D-8AB260CAD881}"/>
                    </c:ext>
                  </c:extLst>
                </c:dPt>
                <c:dPt>
                  <c:idx val="54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A9-873A-48A4-9C4D-8AB260CAD881}"/>
                    </c:ext>
                  </c:extLst>
                </c:dPt>
                <c:dPt>
                  <c:idx val="55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AB-873A-48A4-9C4D-8AB260CAD881}"/>
                    </c:ext>
                  </c:extLst>
                </c:dPt>
                <c:dPt>
                  <c:idx val="55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AD-873A-48A4-9C4D-8AB260CAD881}"/>
                    </c:ext>
                  </c:extLst>
                </c:dPt>
                <c:dPt>
                  <c:idx val="55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AF-873A-48A4-9C4D-8AB260CAD881}"/>
                    </c:ext>
                  </c:extLst>
                </c:dPt>
                <c:dPt>
                  <c:idx val="55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B1-873A-48A4-9C4D-8AB260CAD881}"/>
                    </c:ext>
                  </c:extLst>
                </c:dPt>
                <c:dPt>
                  <c:idx val="55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B3-873A-48A4-9C4D-8AB260CAD881}"/>
                    </c:ext>
                  </c:extLst>
                </c:dPt>
                <c:dPt>
                  <c:idx val="55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B5-873A-48A4-9C4D-8AB260CAD881}"/>
                    </c:ext>
                  </c:extLst>
                </c:dPt>
                <c:dPt>
                  <c:idx val="55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B7-873A-48A4-9C4D-8AB260CAD881}"/>
                    </c:ext>
                  </c:extLst>
                </c:dPt>
                <c:dPt>
                  <c:idx val="55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B9-873A-48A4-9C4D-8AB260CAD881}"/>
                    </c:ext>
                  </c:extLst>
                </c:dPt>
                <c:dPt>
                  <c:idx val="55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BB-873A-48A4-9C4D-8AB260CAD881}"/>
                    </c:ext>
                  </c:extLst>
                </c:dPt>
                <c:dPt>
                  <c:idx val="55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BD-873A-48A4-9C4D-8AB260CAD881}"/>
                    </c:ext>
                  </c:extLst>
                </c:dPt>
                <c:dPt>
                  <c:idx val="56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BF-873A-48A4-9C4D-8AB260CAD881}"/>
                    </c:ext>
                  </c:extLst>
                </c:dPt>
                <c:dPt>
                  <c:idx val="56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C1-873A-48A4-9C4D-8AB260CAD881}"/>
                    </c:ext>
                  </c:extLst>
                </c:dPt>
                <c:dPt>
                  <c:idx val="56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C3-873A-48A4-9C4D-8AB260CAD881}"/>
                    </c:ext>
                  </c:extLst>
                </c:dPt>
                <c:dPt>
                  <c:idx val="56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C5-873A-48A4-9C4D-8AB260CAD881}"/>
                    </c:ext>
                  </c:extLst>
                </c:dPt>
                <c:dPt>
                  <c:idx val="56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C7-873A-48A4-9C4D-8AB260CAD881}"/>
                    </c:ext>
                  </c:extLst>
                </c:dPt>
                <c:dPt>
                  <c:idx val="56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C9-873A-48A4-9C4D-8AB260CAD881}"/>
                    </c:ext>
                  </c:extLst>
                </c:dPt>
                <c:dPt>
                  <c:idx val="56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CB-873A-48A4-9C4D-8AB260CAD881}"/>
                    </c:ext>
                  </c:extLst>
                </c:dPt>
                <c:dPt>
                  <c:idx val="56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CD-873A-48A4-9C4D-8AB260CAD881}"/>
                    </c:ext>
                  </c:extLst>
                </c:dPt>
                <c:dPt>
                  <c:idx val="56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CF-873A-48A4-9C4D-8AB260CAD881}"/>
                    </c:ext>
                  </c:extLst>
                </c:dPt>
                <c:dPt>
                  <c:idx val="56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D1-873A-48A4-9C4D-8AB260CAD881}"/>
                    </c:ext>
                  </c:extLst>
                </c:dPt>
                <c:dPt>
                  <c:idx val="57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D3-873A-48A4-9C4D-8AB260CAD881}"/>
                    </c:ext>
                  </c:extLst>
                </c:dPt>
                <c:dPt>
                  <c:idx val="57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D5-873A-48A4-9C4D-8AB260CAD881}"/>
                    </c:ext>
                  </c:extLst>
                </c:dPt>
                <c:dPt>
                  <c:idx val="57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D7-873A-48A4-9C4D-8AB260CAD881}"/>
                    </c:ext>
                  </c:extLst>
                </c:dPt>
                <c:dPt>
                  <c:idx val="57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D9-873A-48A4-9C4D-8AB260CAD881}"/>
                    </c:ext>
                  </c:extLst>
                </c:dPt>
                <c:dPt>
                  <c:idx val="57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DB-873A-48A4-9C4D-8AB260CAD881}"/>
                    </c:ext>
                  </c:extLst>
                </c:dPt>
                <c:dPt>
                  <c:idx val="57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DD-873A-48A4-9C4D-8AB260CAD881}"/>
                    </c:ext>
                  </c:extLst>
                </c:dPt>
                <c:dPt>
                  <c:idx val="57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DF-873A-48A4-9C4D-8AB260CAD881}"/>
                    </c:ext>
                  </c:extLst>
                </c:dPt>
                <c:dPt>
                  <c:idx val="57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E1-873A-48A4-9C4D-8AB260CAD881}"/>
                    </c:ext>
                  </c:extLst>
                </c:dPt>
                <c:dPt>
                  <c:idx val="57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E3-873A-48A4-9C4D-8AB260CAD881}"/>
                    </c:ext>
                  </c:extLst>
                </c:dPt>
                <c:dPt>
                  <c:idx val="57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E5-873A-48A4-9C4D-8AB260CAD881}"/>
                    </c:ext>
                  </c:extLst>
                </c:dPt>
                <c:dPt>
                  <c:idx val="58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E7-873A-48A4-9C4D-8AB260CAD881}"/>
                    </c:ext>
                  </c:extLst>
                </c:dPt>
                <c:dPt>
                  <c:idx val="58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E9-873A-48A4-9C4D-8AB260CAD881}"/>
                    </c:ext>
                  </c:extLst>
                </c:dPt>
                <c:dPt>
                  <c:idx val="58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EB-873A-48A4-9C4D-8AB260CAD881}"/>
                    </c:ext>
                  </c:extLst>
                </c:dPt>
                <c:dPt>
                  <c:idx val="58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ED-873A-48A4-9C4D-8AB260CAD881}"/>
                    </c:ext>
                  </c:extLst>
                </c:dPt>
                <c:dPt>
                  <c:idx val="58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EF-873A-48A4-9C4D-8AB260CAD881}"/>
                    </c:ext>
                  </c:extLst>
                </c:dPt>
                <c:dPt>
                  <c:idx val="58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F1-873A-48A4-9C4D-8AB260CAD881}"/>
                    </c:ext>
                  </c:extLst>
                </c:dPt>
                <c:dPt>
                  <c:idx val="58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F3-873A-48A4-9C4D-8AB260CAD881}"/>
                    </c:ext>
                  </c:extLst>
                </c:dPt>
                <c:dPt>
                  <c:idx val="58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F5-873A-48A4-9C4D-8AB260CAD881}"/>
                    </c:ext>
                  </c:extLst>
                </c:dPt>
                <c:dPt>
                  <c:idx val="58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F7-873A-48A4-9C4D-8AB260CAD881}"/>
                    </c:ext>
                  </c:extLst>
                </c:dPt>
                <c:dPt>
                  <c:idx val="58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F9-873A-48A4-9C4D-8AB260CAD881}"/>
                    </c:ext>
                  </c:extLst>
                </c:dPt>
                <c:dPt>
                  <c:idx val="59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FB-873A-48A4-9C4D-8AB260CAD881}"/>
                    </c:ext>
                  </c:extLst>
                </c:dPt>
                <c:dPt>
                  <c:idx val="59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FD-873A-48A4-9C4D-8AB260CAD881}"/>
                    </c:ext>
                  </c:extLst>
                </c:dPt>
                <c:dPt>
                  <c:idx val="59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FF-873A-48A4-9C4D-8AB260CAD881}"/>
                    </c:ext>
                  </c:extLst>
                </c:dPt>
                <c:dPt>
                  <c:idx val="59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01-873A-48A4-9C4D-8AB260CAD881}"/>
                    </c:ext>
                  </c:extLst>
                </c:dPt>
                <c:dPt>
                  <c:idx val="59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03-873A-48A4-9C4D-8AB260CAD881}"/>
                    </c:ext>
                  </c:extLst>
                </c:dPt>
                <c:dPt>
                  <c:idx val="59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05-873A-48A4-9C4D-8AB260CAD881}"/>
                    </c:ext>
                  </c:extLst>
                </c:dPt>
                <c:dPt>
                  <c:idx val="59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07-873A-48A4-9C4D-8AB260CAD881}"/>
                    </c:ext>
                  </c:extLst>
                </c:dPt>
                <c:dPt>
                  <c:idx val="59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09-873A-48A4-9C4D-8AB260CAD881}"/>
                    </c:ext>
                  </c:extLst>
                </c:dPt>
                <c:dPt>
                  <c:idx val="59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0B-873A-48A4-9C4D-8AB260CAD881}"/>
                    </c:ext>
                  </c:extLst>
                </c:dPt>
                <c:dPt>
                  <c:idx val="59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0D-873A-48A4-9C4D-8AB260CAD881}"/>
                    </c:ext>
                  </c:extLst>
                </c:dPt>
                <c:dPt>
                  <c:idx val="60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0F-873A-48A4-9C4D-8AB260CAD881}"/>
                    </c:ext>
                  </c:extLst>
                </c:dPt>
                <c:dPt>
                  <c:idx val="60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11-873A-48A4-9C4D-8AB260CAD881}"/>
                    </c:ext>
                  </c:extLst>
                </c:dPt>
                <c:dPt>
                  <c:idx val="60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13-873A-48A4-9C4D-8AB260CAD881}"/>
                    </c:ext>
                  </c:extLst>
                </c:dPt>
                <c:dPt>
                  <c:idx val="60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15-873A-48A4-9C4D-8AB260CAD881}"/>
                    </c:ext>
                  </c:extLst>
                </c:dPt>
                <c:dPt>
                  <c:idx val="60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17-873A-48A4-9C4D-8AB260CAD881}"/>
                    </c:ext>
                  </c:extLst>
                </c:dPt>
                <c:dPt>
                  <c:idx val="60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19-873A-48A4-9C4D-8AB260CAD881}"/>
                    </c:ext>
                  </c:extLst>
                </c:dPt>
                <c:dPt>
                  <c:idx val="60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1B-873A-48A4-9C4D-8AB260CAD881}"/>
                    </c:ext>
                  </c:extLst>
                </c:dPt>
                <c:dPt>
                  <c:idx val="60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1D-873A-48A4-9C4D-8AB260CAD881}"/>
                    </c:ext>
                  </c:extLst>
                </c:dPt>
                <c:dPt>
                  <c:idx val="60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1F-873A-48A4-9C4D-8AB260CAD881}"/>
                    </c:ext>
                  </c:extLst>
                </c:dPt>
                <c:dPt>
                  <c:idx val="60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21-873A-48A4-9C4D-8AB260CAD881}"/>
                    </c:ext>
                  </c:extLst>
                </c:dPt>
                <c:dPt>
                  <c:idx val="61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23-873A-48A4-9C4D-8AB260CAD881}"/>
                    </c:ext>
                  </c:extLst>
                </c:dPt>
                <c:dPt>
                  <c:idx val="61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25-873A-48A4-9C4D-8AB260CAD881}"/>
                    </c:ext>
                  </c:extLst>
                </c:dPt>
                <c:dPt>
                  <c:idx val="61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27-873A-48A4-9C4D-8AB260CAD881}"/>
                    </c:ext>
                  </c:extLst>
                </c:dPt>
                <c:dPt>
                  <c:idx val="61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29-873A-48A4-9C4D-8AB260CAD881}"/>
                    </c:ext>
                  </c:extLst>
                </c:dPt>
                <c:dPt>
                  <c:idx val="61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2B-873A-48A4-9C4D-8AB260CAD881}"/>
                    </c:ext>
                  </c:extLst>
                </c:dPt>
                <c:dPt>
                  <c:idx val="61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2D-873A-48A4-9C4D-8AB260CAD881}"/>
                    </c:ext>
                  </c:extLst>
                </c:dPt>
                <c:dPt>
                  <c:idx val="61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2F-873A-48A4-9C4D-8AB260CAD881}"/>
                    </c:ext>
                  </c:extLst>
                </c:dPt>
                <c:dPt>
                  <c:idx val="61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31-873A-48A4-9C4D-8AB260CAD881}"/>
                    </c:ext>
                  </c:extLst>
                </c:dPt>
                <c:dPt>
                  <c:idx val="61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33-873A-48A4-9C4D-8AB260CAD881}"/>
                    </c:ext>
                  </c:extLst>
                </c:dPt>
                <c:dPt>
                  <c:idx val="61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35-873A-48A4-9C4D-8AB260CAD881}"/>
                    </c:ext>
                  </c:extLst>
                </c:dPt>
                <c:dPt>
                  <c:idx val="62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37-873A-48A4-9C4D-8AB260CAD881}"/>
                    </c:ext>
                  </c:extLst>
                </c:dPt>
                <c:dPt>
                  <c:idx val="62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39-873A-48A4-9C4D-8AB260CAD881}"/>
                    </c:ext>
                  </c:extLst>
                </c:dPt>
                <c:dPt>
                  <c:idx val="62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3B-873A-48A4-9C4D-8AB260CAD881}"/>
                    </c:ext>
                  </c:extLst>
                </c:dPt>
                <c:dPt>
                  <c:idx val="62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3D-873A-48A4-9C4D-8AB260CAD881}"/>
                    </c:ext>
                  </c:extLst>
                </c:dPt>
                <c:dPt>
                  <c:idx val="62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3F-873A-48A4-9C4D-8AB260CAD881}"/>
                    </c:ext>
                  </c:extLst>
                </c:dPt>
                <c:dPt>
                  <c:idx val="62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41-873A-48A4-9C4D-8AB260CAD881}"/>
                    </c:ext>
                  </c:extLst>
                </c:dPt>
                <c:dPt>
                  <c:idx val="626"/>
                  <c:bubble3D val="0"/>
                  <c:spPr>
                    <a:solidFill>
                      <a:srgbClr val="92D050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43-873A-48A4-9C4D-8AB260CAD881}"/>
                    </c:ext>
                  </c:extLst>
                </c:dPt>
                <c:dPt>
                  <c:idx val="62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45-873A-48A4-9C4D-8AB260CAD881}"/>
                    </c:ext>
                  </c:extLst>
                </c:dPt>
                <c:dPt>
                  <c:idx val="62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47-873A-48A4-9C4D-8AB260CAD881}"/>
                    </c:ext>
                  </c:extLst>
                </c:dPt>
                <c:dPt>
                  <c:idx val="62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49-873A-48A4-9C4D-8AB260CAD881}"/>
                    </c:ext>
                  </c:extLst>
                </c:dPt>
                <c:dPt>
                  <c:idx val="63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4B-873A-48A4-9C4D-8AB260CAD881}"/>
                    </c:ext>
                  </c:extLst>
                </c:dPt>
                <c:dPt>
                  <c:idx val="63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4D-873A-48A4-9C4D-8AB260CAD881}"/>
                    </c:ext>
                  </c:extLst>
                </c:dPt>
                <c:dPt>
                  <c:idx val="63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4F-873A-48A4-9C4D-8AB260CAD881}"/>
                    </c:ext>
                  </c:extLst>
                </c:dPt>
                <c:dPt>
                  <c:idx val="63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51-873A-48A4-9C4D-8AB260CAD881}"/>
                    </c:ext>
                  </c:extLst>
                </c:dPt>
                <c:dPt>
                  <c:idx val="63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53-873A-48A4-9C4D-8AB260CAD881}"/>
                    </c:ext>
                  </c:extLst>
                </c:dPt>
                <c:dPt>
                  <c:idx val="63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55-873A-48A4-9C4D-8AB260CAD881}"/>
                    </c:ext>
                  </c:extLst>
                </c:dPt>
                <c:dPt>
                  <c:idx val="63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57-873A-48A4-9C4D-8AB260CAD881}"/>
                    </c:ext>
                  </c:extLst>
                </c:dPt>
                <c:dPt>
                  <c:idx val="63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59-873A-48A4-9C4D-8AB260CAD881}"/>
                    </c:ext>
                  </c:extLst>
                </c:dPt>
                <c:dPt>
                  <c:idx val="63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5B-873A-48A4-9C4D-8AB260CAD881}"/>
                    </c:ext>
                  </c:extLst>
                </c:dPt>
                <c:dPt>
                  <c:idx val="63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5D-873A-48A4-9C4D-8AB260CAD881}"/>
                    </c:ext>
                  </c:extLst>
                </c:dPt>
                <c:dPt>
                  <c:idx val="64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5F-873A-48A4-9C4D-8AB260CAD881}"/>
                    </c:ext>
                  </c:extLst>
                </c:dPt>
                <c:dPt>
                  <c:idx val="64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61-873A-48A4-9C4D-8AB260CAD881}"/>
                    </c:ext>
                  </c:extLst>
                </c:dPt>
                <c:dPt>
                  <c:idx val="64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63-873A-48A4-9C4D-8AB260CAD881}"/>
                    </c:ext>
                  </c:extLst>
                </c:dPt>
                <c:dPt>
                  <c:idx val="64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65-873A-48A4-9C4D-8AB260CAD881}"/>
                    </c:ext>
                  </c:extLst>
                </c:dPt>
                <c:dPt>
                  <c:idx val="64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67-873A-48A4-9C4D-8AB260CAD881}"/>
                    </c:ext>
                  </c:extLst>
                </c:dPt>
                <c:dPt>
                  <c:idx val="64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69-873A-48A4-9C4D-8AB260CAD881}"/>
                    </c:ext>
                  </c:extLst>
                </c:dPt>
                <c:dPt>
                  <c:idx val="64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6B-873A-48A4-9C4D-8AB260CAD881}"/>
                    </c:ext>
                  </c:extLst>
                </c:dPt>
                <c:dPt>
                  <c:idx val="64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6D-873A-48A4-9C4D-8AB260CAD881}"/>
                    </c:ext>
                  </c:extLst>
                </c:dPt>
                <c:dPt>
                  <c:idx val="64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6F-873A-48A4-9C4D-8AB260CAD881}"/>
                    </c:ext>
                  </c:extLst>
                </c:dPt>
                <c:dPt>
                  <c:idx val="64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71-873A-48A4-9C4D-8AB260CAD881}"/>
                    </c:ext>
                  </c:extLst>
                </c:dPt>
                <c:dPt>
                  <c:idx val="65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73-873A-48A4-9C4D-8AB260CAD881}"/>
                    </c:ext>
                  </c:extLst>
                </c:dPt>
                <c:dPt>
                  <c:idx val="65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75-873A-48A4-9C4D-8AB260CAD881}"/>
                    </c:ext>
                  </c:extLst>
                </c:dPt>
                <c:dPt>
                  <c:idx val="65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77-873A-48A4-9C4D-8AB260CAD881}"/>
                    </c:ext>
                  </c:extLst>
                </c:dPt>
                <c:dPt>
                  <c:idx val="65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79-873A-48A4-9C4D-8AB260CAD881}"/>
                    </c:ext>
                  </c:extLst>
                </c:dPt>
                <c:dPt>
                  <c:idx val="65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7B-873A-48A4-9C4D-8AB260CAD881}"/>
                    </c:ext>
                  </c:extLst>
                </c:dPt>
                <c:dPt>
                  <c:idx val="65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7D-873A-48A4-9C4D-8AB260CAD881}"/>
                    </c:ext>
                  </c:extLst>
                </c:dPt>
                <c:dPt>
                  <c:idx val="65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7F-873A-48A4-9C4D-8AB260CAD881}"/>
                    </c:ext>
                  </c:extLst>
                </c:dPt>
                <c:dPt>
                  <c:idx val="65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81-873A-48A4-9C4D-8AB260CAD881}"/>
                    </c:ext>
                  </c:extLst>
                </c:dPt>
                <c:dPt>
                  <c:idx val="65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83-873A-48A4-9C4D-8AB260CAD881}"/>
                    </c:ext>
                  </c:extLst>
                </c:dPt>
                <c:dPt>
                  <c:idx val="65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85-873A-48A4-9C4D-8AB260CAD881}"/>
                    </c:ext>
                  </c:extLst>
                </c:dPt>
                <c:dPt>
                  <c:idx val="66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87-873A-48A4-9C4D-8AB260CAD881}"/>
                    </c:ext>
                  </c:extLst>
                </c:dPt>
                <c:dPt>
                  <c:idx val="66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89-873A-48A4-9C4D-8AB260CAD881}"/>
                    </c:ext>
                  </c:extLst>
                </c:dPt>
                <c:dPt>
                  <c:idx val="66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8B-873A-48A4-9C4D-8AB260CAD881}"/>
                    </c:ext>
                  </c:extLst>
                </c:dPt>
                <c:dPt>
                  <c:idx val="66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8D-873A-48A4-9C4D-8AB260CAD881}"/>
                    </c:ext>
                  </c:extLst>
                </c:dPt>
                <c:dPt>
                  <c:idx val="66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8F-873A-48A4-9C4D-8AB260CAD881}"/>
                    </c:ext>
                  </c:extLst>
                </c:dPt>
                <c:dPt>
                  <c:idx val="66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91-873A-48A4-9C4D-8AB260CAD881}"/>
                    </c:ext>
                  </c:extLst>
                </c:dPt>
                <c:dPt>
                  <c:idx val="66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93-873A-48A4-9C4D-8AB260CAD881}"/>
                    </c:ext>
                  </c:extLst>
                </c:dPt>
                <c:dPt>
                  <c:idx val="66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95-873A-48A4-9C4D-8AB260CAD881}"/>
                    </c:ext>
                  </c:extLst>
                </c:dPt>
                <c:dPt>
                  <c:idx val="66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97-873A-48A4-9C4D-8AB260CAD881}"/>
                    </c:ext>
                  </c:extLst>
                </c:dPt>
                <c:dPt>
                  <c:idx val="66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99-873A-48A4-9C4D-8AB260CAD881}"/>
                    </c:ext>
                  </c:extLst>
                </c:dPt>
                <c:dPt>
                  <c:idx val="67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9B-873A-48A4-9C4D-8AB260CAD881}"/>
                    </c:ext>
                  </c:extLst>
                </c:dPt>
                <c:dPt>
                  <c:idx val="67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9D-873A-48A4-9C4D-8AB260CAD881}"/>
                    </c:ext>
                  </c:extLst>
                </c:dPt>
                <c:dPt>
                  <c:idx val="67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9F-873A-48A4-9C4D-8AB260CAD881}"/>
                    </c:ext>
                  </c:extLst>
                </c:dPt>
                <c:dPt>
                  <c:idx val="67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A1-873A-48A4-9C4D-8AB260CAD881}"/>
                    </c:ext>
                  </c:extLst>
                </c:dPt>
                <c:dPt>
                  <c:idx val="67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A3-873A-48A4-9C4D-8AB260CAD881}"/>
                    </c:ext>
                  </c:extLst>
                </c:dPt>
                <c:dPt>
                  <c:idx val="67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A5-873A-48A4-9C4D-8AB260CAD881}"/>
                    </c:ext>
                  </c:extLst>
                </c:dPt>
                <c:dPt>
                  <c:idx val="67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A7-873A-48A4-9C4D-8AB260CAD881}"/>
                    </c:ext>
                  </c:extLst>
                </c:dPt>
                <c:dPt>
                  <c:idx val="67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A9-873A-48A4-9C4D-8AB260CAD881}"/>
                    </c:ext>
                  </c:extLst>
                </c:dPt>
                <c:dPt>
                  <c:idx val="67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AB-873A-48A4-9C4D-8AB260CAD881}"/>
                    </c:ext>
                  </c:extLst>
                </c:dPt>
                <c:dPt>
                  <c:idx val="67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AD-873A-48A4-9C4D-8AB260CAD881}"/>
                    </c:ext>
                  </c:extLst>
                </c:dPt>
                <c:dPt>
                  <c:idx val="68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AF-873A-48A4-9C4D-8AB260CAD881}"/>
                    </c:ext>
                  </c:extLst>
                </c:dPt>
                <c:dPt>
                  <c:idx val="68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B1-873A-48A4-9C4D-8AB260CAD881}"/>
                    </c:ext>
                  </c:extLst>
                </c:dPt>
                <c:dPt>
                  <c:idx val="68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B3-873A-48A4-9C4D-8AB260CAD881}"/>
                    </c:ext>
                  </c:extLst>
                </c:dPt>
                <c:dPt>
                  <c:idx val="68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B5-873A-48A4-9C4D-8AB260CAD881}"/>
                    </c:ext>
                  </c:extLst>
                </c:dPt>
                <c:dPt>
                  <c:idx val="68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B7-873A-48A4-9C4D-8AB260CAD881}"/>
                    </c:ext>
                  </c:extLst>
                </c:dPt>
                <c:dPt>
                  <c:idx val="68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B9-873A-48A4-9C4D-8AB260CAD881}"/>
                    </c:ext>
                  </c:extLst>
                </c:dPt>
                <c:dPt>
                  <c:idx val="68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BB-873A-48A4-9C4D-8AB260CAD881}"/>
                    </c:ext>
                  </c:extLst>
                </c:dPt>
                <c:dPt>
                  <c:idx val="68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BD-873A-48A4-9C4D-8AB260CAD881}"/>
                    </c:ext>
                  </c:extLst>
                </c:dPt>
                <c:dPt>
                  <c:idx val="68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BF-873A-48A4-9C4D-8AB260CAD881}"/>
                    </c:ext>
                  </c:extLst>
                </c:dPt>
                <c:dPt>
                  <c:idx val="68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C1-873A-48A4-9C4D-8AB260CAD881}"/>
                    </c:ext>
                  </c:extLst>
                </c:dPt>
                <c:dPt>
                  <c:idx val="69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C3-873A-48A4-9C4D-8AB260CAD881}"/>
                    </c:ext>
                  </c:extLst>
                </c:dPt>
                <c:dPt>
                  <c:idx val="69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C5-873A-48A4-9C4D-8AB260CAD881}"/>
                    </c:ext>
                  </c:extLst>
                </c:dPt>
                <c:dPt>
                  <c:idx val="69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C7-873A-48A4-9C4D-8AB260CAD881}"/>
                    </c:ext>
                  </c:extLst>
                </c:dPt>
                <c:dPt>
                  <c:idx val="69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C9-873A-48A4-9C4D-8AB260CAD881}"/>
                    </c:ext>
                  </c:extLst>
                </c:dPt>
                <c:dPt>
                  <c:idx val="69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CB-873A-48A4-9C4D-8AB260CAD881}"/>
                    </c:ext>
                  </c:extLst>
                </c:dPt>
                <c:dPt>
                  <c:idx val="69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CD-873A-48A4-9C4D-8AB260CAD881}"/>
                    </c:ext>
                  </c:extLst>
                </c:dPt>
                <c:dPt>
                  <c:idx val="69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CF-873A-48A4-9C4D-8AB260CAD881}"/>
                    </c:ext>
                  </c:extLst>
                </c:dPt>
                <c:dPt>
                  <c:idx val="69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D1-873A-48A4-9C4D-8AB260CAD881}"/>
                    </c:ext>
                  </c:extLst>
                </c:dPt>
                <c:dPt>
                  <c:idx val="69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D3-873A-48A4-9C4D-8AB260CAD881}"/>
                    </c:ext>
                  </c:extLst>
                </c:dPt>
                <c:dPt>
                  <c:idx val="69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D5-873A-48A4-9C4D-8AB260CAD881}"/>
                    </c:ext>
                  </c:extLst>
                </c:dPt>
                <c:dPt>
                  <c:idx val="70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D7-873A-48A4-9C4D-8AB260CAD881}"/>
                    </c:ext>
                  </c:extLst>
                </c:dPt>
                <c:dPt>
                  <c:idx val="70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D9-873A-48A4-9C4D-8AB260CAD881}"/>
                    </c:ext>
                  </c:extLst>
                </c:dPt>
                <c:dPt>
                  <c:idx val="70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DB-873A-48A4-9C4D-8AB260CAD881}"/>
                    </c:ext>
                  </c:extLst>
                </c:dPt>
                <c:dPt>
                  <c:idx val="70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DD-873A-48A4-9C4D-8AB260CAD881}"/>
                    </c:ext>
                  </c:extLst>
                </c:dPt>
                <c:dPt>
                  <c:idx val="70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DF-873A-48A4-9C4D-8AB260CAD881}"/>
                    </c:ext>
                  </c:extLst>
                </c:dPt>
                <c:dPt>
                  <c:idx val="70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E1-873A-48A4-9C4D-8AB260CAD881}"/>
                    </c:ext>
                  </c:extLst>
                </c:dPt>
                <c:dPt>
                  <c:idx val="70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E3-873A-48A4-9C4D-8AB260CAD881}"/>
                    </c:ext>
                  </c:extLst>
                </c:dPt>
                <c:dPt>
                  <c:idx val="70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E5-873A-48A4-9C4D-8AB260CAD881}"/>
                    </c:ext>
                  </c:extLst>
                </c:dPt>
                <c:dPt>
                  <c:idx val="70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E7-873A-48A4-9C4D-8AB260CAD881}"/>
                    </c:ext>
                  </c:extLst>
                </c:dPt>
                <c:dPt>
                  <c:idx val="70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E9-873A-48A4-9C4D-8AB260CAD881}"/>
                    </c:ext>
                  </c:extLst>
                </c:dPt>
                <c:dPt>
                  <c:idx val="71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EB-873A-48A4-9C4D-8AB260CAD881}"/>
                    </c:ext>
                  </c:extLst>
                </c:dPt>
                <c:dPt>
                  <c:idx val="71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ED-873A-48A4-9C4D-8AB260CAD881}"/>
                    </c:ext>
                  </c:extLst>
                </c:dPt>
                <c:dPt>
                  <c:idx val="71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EF-873A-48A4-9C4D-8AB260CAD881}"/>
                    </c:ext>
                  </c:extLst>
                </c:dPt>
                <c:dPt>
                  <c:idx val="71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F1-873A-48A4-9C4D-8AB260CAD881}"/>
                    </c:ext>
                  </c:extLst>
                </c:dPt>
                <c:dPt>
                  <c:idx val="71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F3-873A-48A4-9C4D-8AB260CAD881}"/>
                    </c:ext>
                  </c:extLst>
                </c:dPt>
                <c:dPt>
                  <c:idx val="71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F5-873A-48A4-9C4D-8AB260CAD881}"/>
                    </c:ext>
                  </c:extLst>
                </c:dPt>
                <c:dPt>
                  <c:idx val="71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F7-873A-48A4-9C4D-8AB260CAD881}"/>
                    </c:ext>
                  </c:extLst>
                </c:dPt>
                <c:dPt>
                  <c:idx val="71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F9-873A-48A4-9C4D-8AB260CAD881}"/>
                    </c:ext>
                  </c:extLst>
                </c:dPt>
                <c:dPt>
                  <c:idx val="71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FB-873A-48A4-9C4D-8AB260CAD881}"/>
                    </c:ext>
                  </c:extLst>
                </c:dPt>
                <c:dPt>
                  <c:idx val="71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FD-873A-48A4-9C4D-8AB260CAD881}"/>
                    </c:ext>
                  </c:extLst>
                </c:dPt>
                <c:dPt>
                  <c:idx val="72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FF-873A-48A4-9C4D-8AB260CAD881}"/>
                    </c:ext>
                  </c:extLst>
                </c:dPt>
                <c:dPt>
                  <c:idx val="721"/>
                  <c:bubble3D val="0"/>
                  <c:spPr>
                    <a:solidFill>
                      <a:srgbClr val="08E61D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01-873A-48A4-9C4D-8AB260CAD881}"/>
                    </c:ext>
                  </c:extLst>
                </c:dPt>
                <c:dPt>
                  <c:idx val="72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03-873A-48A4-9C4D-8AB260CAD881}"/>
                    </c:ext>
                  </c:extLst>
                </c:dPt>
                <c:dPt>
                  <c:idx val="72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05-873A-48A4-9C4D-8AB260CAD881}"/>
                    </c:ext>
                  </c:extLst>
                </c:dPt>
                <c:dPt>
                  <c:idx val="72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07-873A-48A4-9C4D-8AB260CAD881}"/>
                    </c:ext>
                  </c:extLst>
                </c:dPt>
                <c:dPt>
                  <c:idx val="725"/>
                  <c:bubble3D val="0"/>
                  <c:spPr>
                    <a:solidFill>
                      <a:schemeClr val="accent4">
                        <a:lumMod val="40000"/>
                        <a:lumOff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09-873A-48A4-9C4D-8AB260CAD881}"/>
                    </c:ext>
                  </c:extLst>
                </c:dPt>
                <c:dPt>
                  <c:idx val="72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0B-873A-48A4-9C4D-8AB260CAD881}"/>
                    </c:ext>
                  </c:extLst>
                </c:dPt>
                <c:dPt>
                  <c:idx val="72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0D-873A-48A4-9C4D-8AB260CAD881}"/>
                    </c:ext>
                  </c:extLst>
                </c:dPt>
                <c:dPt>
                  <c:idx val="72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0F-873A-48A4-9C4D-8AB260CAD881}"/>
                    </c:ext>
                  </c:extLst>
                </c:dPt>
                <c:dPt>
                  <c:idx val="72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11-873A-48A4-9C4D-8AB260CAD881}"/>
                    </c:ext>
                  </c:extLst>
                </c:dPt>
                <c:dPt>
                  <c:idx val="73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13-873A-48A4-9C4D-8AB260CAD881}"/>
                    </c:ext>
                  </c:extLst>
                </c:dPt>
                <c:dPt>
                  <c:idx val="73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15-873A-48A4-9C4D-8AB260CAD881}"/>
                    </c:ext>
                  </c:extLst>
                </c:dPt>
                <c:dPt>
                  <c:idx val="73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17-873A-48A4-9C4D-8AB260CAD881}"/>
                    </c:ext>
                  </c:extLst>
                </c:dPt>
                <c:dPt>
                  <c:idx val="73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19-873A-48A4-9C4D-8AB260CAD881}"/>
                    </c:ext>
                  </c:extLst>
                </c:dPt>
                <c:dPt>
                  <c:idx val="73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1B-873A-48A4-9C4D-8AB260CAD881}"/>
                    </c:ext>
                  </c:extLst>
                </c:dPt>
                <c:dPt>
                  <c:idx val="735"/>
                  <c:bubble3D val="0"/>
                  <c:spPr>
                    <a:solidFill>
                      <a:srgbClr val="FF006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1D-873A-48A4-9C4D-8AB260CAD881}"/>
                    </c:ext>
                  </c:extLst>
                </c:dPt>
                <c:dPt>
                  <c:idx val="73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1F-873A-48A4-9C4D-8AB260CAD881}"/>
                    </c:ext>
                  </c:extLst>
                </c:dPt>
                <c:dPt>
                  <c:idx val="73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21-873A-48A4-9C4D-8AB260CAD881}"/>
                    </c:ext>
                  </c:extLst>
                </c:dPt>
                <c:dPt>
                  <c:idx val="73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23-873A-48A4-9C4D-8AB260CAD881}"/>
                    </c:ext>
                  </c:extLst>
                </c:dPt>
                <c:dPt>
                  <c:idx val="73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25-873A-48A4-9C4D-8AB260CAD881}"/>
                    </c:ext>
                  </c:extLst>
                </c:dPt>
                <c:dPt>
                  <c:idx val="74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27-873A-48A4-9C4D-8AB260CAD881}"/>
                    </c:ext>
                  </c:extLst>
                </c:dPt>
                <c:dPt>
                  <c:idx val="74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29-873A-48A4-9C4D-8AB260CAD881}"/>
                    </c:ext>
                  </c:extLst>
                </c:dPt>
                <c:dPt>
                  <c:idx val="74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2B-873A-48A4-9C4D-8AB260CAD881}"/>
                    </c:ext>
                  </c:extLst>
                </c:dPt>
                <c:dPt>
                  <c:idx val="743"/>
                  <c:bubble3D val="0"/>
                  <c:spPr>
                    <a:solidFill>
                      <a:srgbClr val="FFFF00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2D-873A-48A4-9C4D-8AB260CAD881}"/>
                    </c:ext>
                  </c:extLst>
                </c:dPt>
                <c:dPt>
                  <c:idx val="74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2F-873A-48A4-9C4D-8AB260CAD881}"/>
                    </c:ext>
                  </c:extLst>
                </c:dPt>
                <c:dPt>
                  <c:idx val="74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31-873A-48A4-9C4D-8AB260CAD881}"/>
                    </c:ext>
                  </c:extLst>
                </c:dPt>
                <c:dPt>
                  <c:idx val="74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33-873A-48A4-9C4D-8AB260CAD881}"/>
                    </c:ext>
                  </c:extLst>
                </c:dPt>
                <c:dPt>
                  <c:idx val="74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35-873A-48A4-9C4D-8AB260CAD881}"/>
                    </c:ext>
                  </c:extLst>
                </c:dPt>
                <c:dPt>
                  <c:idx val="74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37-873A-48A4-9C4D-8AB260CAD881}"/>
                    </c:ext>
                  </c:extLst>
                </c:dPt>
                <c:dPt>
                  <c:idx val="74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39-873A-48A4-9C4D-8AB260CAD881}"/>
                    </c:ext>
                  </c:extLst>
                </c:dPt>
                <c:dPt>
                  <c:idx val="75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3B-873A-48A4-9C4D-8AB260CAD881}"/>
                    </c:ext>
                  </c:extLst>
                </c:dPt>
                <c:dPt>
                  <c:idx val="75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3D-873A-48A4-9C4D-8AB260CAD881}"/>
                    </c:ext>
                  </c:extLst>
                </c:dPt>
                <c:dPt>
                  <c:idx val="75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3F-873A-48A4-9C4D-8AB260CAD881}"/>
                    </c:ext>
                  </c:extLst>
                </c:dPt>
                <c:dPt>
                  <c:idx val="75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41-873A-48A4-9C4D-8AB260CAD881}"/>
                    </c:ext>
                  </c:extLst>
                </c:dPt>
                <c:dPt>
                  <c:idx val="75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43-873A-48A4-9C4D-8AB260CAD881}"/>
                    </c:ext>
                  </c:extLst>
                </c:dPt>
                <c:dPt>
                  <c:idx val="75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45-873A-48A4-9C4D-8AB260CAD881}"/>
                    </c:ext>
                  </c:extLst>
                </c:dPt>
                <c:dPt>
                  <c:idx val="75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47-873A-48A4-9C4D-8AB260CAD881}"/>
                    </c:ext>
                  </c:extLst>
                </c:dPt>
                <c:dPt>
                  <c:idx val="75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49-873A-48A4-9C4D-8AB260CAD881}"/>
                    </c:ext>
                  </c:extLst>
                </c:dPt>
                <c:dPt>
                  <c:idx val="75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4B-873A-48A4-9C4D-8AB260CAD881}"/>
                    </c:ext>
                  </c:extLst>
                </c:dPt>
                <c:dPt>
                  <c:idx val="75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4D-873A-48A4-9C4D-8AB260CAD881}"/>
                    </c:ext>
                  </c:extLst>
                </c:dPt>
                <c:dPt>
                  <c:idx val="76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4F-873A-48A4-9C4D-8AB260CAD881}"/>
                    </c:ext>
                  </c:extLst>
                </c:dPt>
                <c:dPt>
                  <c:idx val="76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51-873A-48A4-9C4D-8AB260CAD881}"/>
                    </c:ext>
                  </c:extLst>
                </c:dPt>
                <c:dPt>
                  <c:idx val="76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53-873A-48A4-9C4D-8AB260CAD881}"/>
                    </c:ext>
                  </c:extLst>
                </c:dPt>
                <c:dPt>
                  <c:idx val="76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55-873A-48A4-9C4D-8AB260CAD881}"/>
                    </c:ext>
                  </c:extLst>
                </c:dPt>
                <c:dPt>
                  <c:idx val="76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57-873A-48A4-9C4D-8AB260CAD881}"/>
                    </c:ext>
                  </c:extLst>
                </c:dPt>
                <c:dPt>
                  <c:idx val="76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59-873A-48A4-9C4D-8AB260CAD881}"/>
                    </c:ext>
                  </c:extLst>
                </c:dPt>
                <c:dPt>
                  <c:idx val="76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5B-873A-48A4-9C4D-8AB260CAD881}"/>
                    </c:ext>
                  </c:extLst>
                </c:dPt>
                <c:dPt>
                  <c:idx val="76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5D-873A-48A4-9C4D-8AB260CAD881}"/>
                    </c:ext>
                  </c:extLst>
                </c:dPt>
                <c:dPt>
                  <c:idx val="76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5F-873A-48A4-9C4D-8AB260CAD881}"/>
                    </c:ext>
                  </c:extLst>
                </c:dPt>
                <c:dPt>
                  <c:idx val="76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61-873A-48A4-9C4D-8AB260CAD881}"/>
                    </c:ext>
                  </c:extLst>
                </c:dPt>
                <c:dPt>
                  <c:idx val="77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63-873A-48A4-9C4D-8AB260CAD881}"/>
                    </c:ext>
                  </c:extLst>
                </c:dPt>
                <c:dPt>
                  <c:idx val="77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65-873A-48A4-9C4D-8AB260CAD881}"/>
                    </c:ext>
                  </c:extLst>
                </c:dPt>
                <c:dPt>
                  <c:idx val="77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67-873A-48A4-9C4D-8AB260CAD881}"/>
                    </c:ext>
                  </c:extLst>
                </c:dPt>
                <c:dPt>
                  <c:idx val="77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69-873A-48A4-9C4D-8AB260CAD881}"/>
                    </c:ext>
                  </c:extLst>
                </c:dPt>
                <c:dPt>
                  <c:idx val="77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6B-873A-48A4-9C4D-8AB260CAD881}"/>
                    </c:ext>
                  </c:extLst>
                </c:dPt>
                <c:dPt>
                  <c:idx val="77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6D-873A-48A4-9C4D-8AB260CAD881}"/>
                    </c:ext>
                  </c:extLst>
                </c:dPt>
                <c:dPt>
                  <c:idx val="77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6F-873A-48A4-9C4D-8AB260CAD881}"/>
                    </c:ext>
                  </c:extLst>
                </c:dPt>
                <c:dPt>
                  <c:idx val="77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71-873A-48A4-9C4D-8AB260CAD881}"/>
                    </c:ext>
                  </c:extLst>
                </c:dPt>
                <c:dPt>
                  <c:idx val="77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73-873A-48A4-9C4D-8AB260CAD881}"/>
                    </c:ext>
                  </c:extLst>
                </c:dPt>
                <c:dPt>
                  <c:idx val="77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75-873A-48A4-9C4D-8AB260CAD881}"/>
                    </c:ext>
                  </c:extLst>
                </c:dPt>
                <c:dPt>
                  <c:idx val="78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77-873A-48A4-9C4D-8AB260CAD881}"/>
                    </c:ext>
                  </c:extLst>
                </c:dPt>
                <c:dPt>
                  <c:idx val="78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79-873A-48A4-9C4D-8AB260CAD881}"/>
                    </c:ext>
                  </c:extLst>
                </c:dPt>
                <c:dPt>
                  <c:idx val="78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7B-873A-48A4-9C4D-8AB260CAD881}"/>
                    </c:ext>
                  </c:extLst>
                </c:dPt>
                <c:dPt>
                  <c:idx val="78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7D-873A-48A4-9C4D-8AB260CAD881}"/>
                    </c:ext>
                  </c:extLst>
                </c:dPt>
                <c:dPt>
                  <c:idx val="78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7F-873A-48A4-9C4D-8AB260CAD881}"/>
                    </c:ext>
                  </c:extLst>
                </c:dPt>
                <c:dPt>
                  <c:idx val="78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81-873A-48A4-9C4D-8AB260CAD881}"/>
                    </c:ext>
                  </c:extLst>
                </c:dPt>
                <c:dPt>
                  <c:idx val="78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83-873A-48A4-9C4D-8AB260CAD881}"/>
                    </c:ext>
                  </c:extLst>
                </c:dPt>
                <c:dPt>
                  <c:idx val="78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85-873A-48A4-9C4D-8AB260CAD881}"/>
                    </c:ext>
                  </c:extLst>
                </c:dPt>
                <c:dPt>
                  <c:idx val="78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87-873A-48A4-9C4D-8AB260CAD881}"/>
                    </c:ext>
                  </c:extLst>
                </c:dPt>
                <c:dPt>
                  <c:idx val="78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89-873A-48A4-9C4D-8AB260CAD881}"/>
                    </c:ext>
                  </c:extLst>
                </c:dPt>
                <c:dPt>
                  <c:idx val="79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8B-873A-48A4-9C4D-8AB260CAD881}"/>
                    </c:ext>
                  </c:extLst>
                </c:dPt>
                <c:dPt>
                  <c:idx val="79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8D-873A-48A4-9C4D-8AB260CAD881}"/>
                    </c:ext>
                  </c:extLst>
                </c:dPt>
                <c:dPt>
                  <c:idx val="79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8F-873A-48A4-9C4D-8AB260CAD881}"/>
                    </c:ext>
                  </c:extLst>
                </c:dPt>
                <c:dPt>
                  <c:idx val="79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91-873A-48A4-9C4D-8AB260CAD881}"/>
                    </c:ext>
                  </c:extLst>
                </c:dPt>
                <c:dPt>
                  <c:idx val="79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93-873A-48A4-9C4D-8AB260CAD881}"/>
                    </c:ext>
                  </c:extLst>
                </c:dPt>
                <c:dPt>
                  <c:idx val="79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95-873A-48A4-9C4D-8AB260CAD881}"/>
                    </c:ext>
                  </c:extLst>
                </c:dPt>
                <c:dPt>
                  <c:idx val="79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97-873A-48A4-9C4D-8AB260CAD881}"/>
                    </c:ext>
                  </c:extLst>
                </c:dPt>
                <c:dPt>
                  <c:idx val="79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99-873A-48A4-9C4D-8AB260CAD881}"/>
                    </c:ext>
                  </c:extLst>
                </c:dPt>
                <c:dPt>
                  <c:idx val="79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9B-873A-48A4-9C4D-8AB260CAD881}"/>
                    </c:ext>
                  </c:extLst>
                </c:dPt>
                <c:dPt>
                  <c:idx val="79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9D-873A-48A4-9C4D-8AB260CAD881}"/>
                    </c:ext>
                  </c:extLst>
                </c:dPt>
                <c:dPt>
                  <c:idx val="80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9F-873A-48A4-9C4D-8AB260CAD881}"/>
                    </c:ext>
                  </c:extLst>
                </c:dPt>
                <c:dPt>
                  <c:idx val="80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A1-873A-48A4-9C4D-8AB260CAD881}"/>
                    </c:ext>
                  </c:extLst>
                </c:dPt>
                <c:dPt>
                  <c:idx val="80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A3-873A-48A4-9C4D-8AB260CAD881}"/>
                    </c:ext>
                  </c:extLst>
                </c:dPt>
                <c:dPt>
                  <c:idx val="80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A5-873A-48A4-9C4D-8AB260CAD881}"/>
                    </c:ext>
                  </c:extLst>
                </c:dPt>
                <c:dPt>
                  <c:idx val="80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A7-873A-48A4-9C4D-8AB260CAD881}"/>
                    </c:ext>
                  </c:extLst>
                </c:dPt>
                <c:dPt>
                  <c:idx val="80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A9-873A-48A4-9C4D-8AB260CAD881}"/>
                    </c:ext>
                  </c:extLst>
                </c:dPt>
                <c:dPt>
                  <c:idx val="80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AB-873A-48A4-9C4D-8AB260CAD881}"/>
                    </c:ext>
                  </c:extLst>
                </c:dPt>
                <c:dPt>
                  <c:idx val="80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AD-873A-48A4-9C4D-8AB260CAD881}"/>
                    </c:ext>
                  </c:extLst>
                </c:dPt>
                <c:dPt>
                  <c:idx val="80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AF-873A-48A4-9C4D-8AB260CAD881}"/>
                    </c:ext>
                  </c:extLst>
                </c:dPt>
                <c:dPt>
                  <c:idx val="80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B1-873A-48A4-9C4D-8AB260CAD881}"/>
                    </c:ext>
                  </c:extLst>
                </c:dPt>
                <c:dPt>
                  <c:idx val="81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B3-873A-48A4-9C4D-8AB260CAD881}"/>
                    </c:ext>
                  </c:extLst>
                </c:dPt>
                <c:dPt>
                  <c:idx val="81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B5-873A-48A4-9C4D-8AB260CAD881}"/>
                    </c:ext>
                  </c:extLst>
                </c:dPt>
                <c:dPt>
                  <c:idx val="81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B7-873A-48A4-9C4D-8AB260CAD881}"/>
                    </c:ext>
                  </c:extLst>
                </c:dPt>
                <c:dPt>
                  <c:idx val="81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B9-873A-48A4-9C4D-8AB260CAD881}"/>
                    </c:ext>
                  </c:extLst>
                </c:dPt>
                <c:dPt>
                  <c:idx val="81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BB-873A-48A4-9C4D-8AB260CAD881}"/>
                    </c:ext>
                  </c:extLst>
                </c:dPt>
                <c:dPt>
                  <c:idx val="81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BD-873A-48A4-9C4D-8AB260CAD881}"/>
                    </c:ext>
                  </c:extLst>
                </c:dPt>
                <c:dPt>
                  <c:idx val="81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BF-873A-48A4-9C4D-8AB260CAD881}"/>
                    </c:ext>
                  </c:extLst>
                </c:dPt>
                <c:dPt>
                  <c:idx val="81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C1-873A-48A4-9C4D-8AB260CAD881}"/>
                    </c:ext>
                  </c:extLst>
                </c:dPt>
                <c:dPt>
                  <c:idx val="81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C3-873A-48A4-9C4D-8AB260CAD881}"/>
                    </c:ext>
                  </c:extLst>
                </c:dPt>
                <c:dPt>
                  <c:idx val="81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C5-873A-48A4-9C4D-8AB260CAD881}"/>
                    </c:ext>
                  </c:extLst>
                </c:dPt>
                <c:dPt>
                  <c:idx val="82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C7-873A-48A4-9C4D-8AB260CAD881}"/>
                    </c:ext>
                  </c:extLst>
                </c:dPt>
                <c:dPt>
                  <c:idx val="82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C9-873A-48A4-9C4D-8AB260CAD881}"/>
                    </c:ext>
                  </c:extLst>
                </c:dPt>
                <c:dPt>
                  <c:idx val="82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CB-873A-48A4-9C4D-8AB260CAD881}"/>
                    </c:ext>
                  </c:extLst>
                </c:dPt>
                <c:dPt>
                  <c:idx val="82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CD-873A-48A4-9C4D-8AB260CAD881}"/>
                    </c:ext>
                  </c:extLst>
                </c:dPt>
                <c:dPt>
                  <c:idx val="82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CF-873A-48A4-9C4D-8AB260CAD881}"/>
                    </c:ext>
                  </c:extLst>
                </c:dPt>
                <c:dPt>
                  <c:idx val="82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D1-873A-48A4-9C4D-8AB260CAD881}"/>
                    </c:ext>
                  </c:extLst>
                </c:dPt>
                <c:dPt>
                  <c:idx val="82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D3-873A-48A4-9C4D-8AB260CAD881}"/>
                    </c:ext>
                  </c:extLst>
                </c:dPt>
                <c:dPt>
                  <c:idx val="82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D5-873A-48A4-9C4D-8AB260CAD881}"/>
                    </c:ext>
                  </c:extLst>
                </c:dPt>
                <c:dPt>
                  <c:idx val="82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D7-873A-48A4-9C4D-8AB260CAD881}"/>
                    </c:ext>
                  </c:extLst>
                </c:dPt>
                <c:dPt>
                  <c:idx val="82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D9-873A-48A4-9C4D-8AB260CAD881}"/>
                    </c:ext>
                  </c:extLst>
                </c:dPt>
                <c:dPt>
                  <c:idx val="83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DB-873A-48A4-9C4D-8AB260CAD881}"/>
                    </c:ext>
                  </c:extLst>
                </c:dPt>
                <c:dPt>
                  <c:idx val="83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DD-873A-48A4-9C4D-8AB260CAD881}"/>
                    </c:ext>
                  </c:extLst>
                </c:dPt>
                <c:dPt>
                  <c:idx val="83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DF-873A-48A4-9C4D-8AB260CAD881}"/>
                    </c:ext>
                  </c:extLst>
                </c:dPt>
                <c:dPt>
                  <c:idx val="83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E1-873A-48A4-9C4D-8AB260CAD881}"/>
                    </c:ext>
                  </c:extLst>
                </c:dPt>
                <c:dPt>
                  <c:idx val="83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E3-873A-48A4-9C4D-8AB260CAD881}"/>
                    </c:ext>
                  </c:extLst>
                </c:dPt>
                <c:dPt>
                  <c:idx val="83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E5-873A-48A4-9C4D-8AB260CAD881}"/>
                    </c:ext>
                  </c:extLst>
                </c:dPt>
                <c:dPt>
                  <c:idx val="83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E7-873A-48A4-9C4D-8AB260CAD881}"/>
                    </c:ext>
                  </c:extLst>
                </c:dPt>
                <c:dPt>
                  <c:idx val="83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E9-873A-48A4-9C4D-8AB260CAD881}"/>
                    </c:ext>
                  </c:extLst>
                </c:dPt>
                <c:dPt>
                  <c:idx val="83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EB-873A-48A4-9C4D-8AB260CAD881}"/>
                    </c:ext>
                  </c:extLst>
                </c:dPt>
                <c:dPt>
                  <c:idx val="83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ED-873A-48A4-9C4D-8AB260CAD881}"/>
                    </c:ext>
                  </c:extLst>
                </c:dPt>
                <c:dPt>
                  <c:idx val="84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EF-873A-48A4-9C4D-8AB260CAD881}"/>
                    </c:ext>
                  </c:extLst>
                </c:dPt>
                <c:dPt>
                  <c:idx val="84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F1-873A-48A4-9C4D-8AB260CAD881}"/>
                    </c:ext>
                  </c:extLst>
                </c:dPt>
                <c:dPt>
                  <c:idx val="84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F3-873A-48A4-9C4D-8AB260CAD881}"/>
                    </c:ext>
                  </c:extLst>
                </c:dPt>
                <c:dPt>
                  <c:idx val="843"/>
                  <c:bubble3D val="0"/>
                  <c:spPr>
                    <a:solidFill>
                      <a:schemeClr val="accent6">
                        <a:lumMod val="75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F5-873A-48A4-9C4D-8AB260CAD881}"/>
                    </c:ext>
                  </c:extLst>
                </c:dPt>
                <c:dPt>
                  <c:idx val="84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F7-873A-48A4-9C4D-8AB260CAD881}"/>
                    </c:ext>
                  </c:extLst>
                </c:dPt>
                <c:dPt>
                  <c:idx val="84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F9-873A-48A4-9C4D-8AB260CAD881}"/>
                    </c:ext>
                  </c:extLst>
                </c:dPt>
                <c:dPt>
                  <c:idx val="84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FB-873A-48A4-9C4D-8AB260CAD881}"/>
                    </c:ext>
                  </c:extLst>
                </c:dPt>
                <c:dPt>
                  <c:idx val="84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FD-873A-48A4-9C4D-8AB260CAD881}"/>
                    </c:ext>
                  </c:extLst>
                </c:dPt>
                <c:dPt>
                  <c:idx val="848"/>
                  <c:bubble3D val="0"/>
                  <c:spPr>
                    <a:solidFill>
                      <a:srgbClr val="00B0F0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FF-873A-48A4-9C4D-8AB260CAD881}"/>
                    </c:ext>
                  </c:extLst>
                </c:dPt>
                <c:dPt>
                  <c:idx val="84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01-873A-48A4-9C4D-8AB260CAD881}"/>
                    </c:ext>
                  </c:extLst>
                </c:dPt>
                <c:dPt>
                  <c:idx val="85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03-873A-48A4-9C4D-8AB260CAD881}"/>
                    </c:ext>
                  </c:extLst>
                </c:dPt>
                <c:dPt>
                  <c:idx val="851"/>
                  <c:bubble3D val="0"/>
                  <c:spPr>
                    <a:solidFill>
                      <a:schemeClr val="bg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05-873A-48A4-9C4D-8AB260CAD881}"/>
                    </c:ext>
                  </c:extLst>
                </c:dPt>
                <c:dPt>
                  <c:idx val="85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07-873A-48A4-9C4D-8AB260CAD881}"/>
                    </c:ext>
                  </c:extLst>
                </c:dPt>
                <c:dPt>
                  <c:idx val="853"/>
                  <c:bubble3D val="0"/>
                  <c:spPr>
                    <a:solidFill>
                      <a:srgbClr val="FFFF00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09-873A-48A4-9C4D-8AB260CAD881}"/>
                    </c:ext>
                  </c:extLst>
                </c:dPt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 cap="flat" cmpd="sng" algn="ctr">
                        <a:solidFill>
                          <a:schemeClr val="tx1">
                            <a:lumMod val="35000"/>
                            <a:lumOff val="65000"/>
                          </a:schemeClr>
                        </a:solidFill>
                        <a:round/>
                      </a:ln>
                      <a:effectLst/>
                    </c:spPr>
                  </c:leaderLines>
                  <c:extLst xmlns:c15="http://schemas.microsoft.com/office/drawing/2012/chart">
                    <c:ext xmlns:c15="http://schemas.microsoft.com/office/drawing/2012/chart" uri="{CE6537A1-D6FC-4f65-9D91-7224C49458BB}"/>
                  </c:extLst>
                </c:dLbls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('Données '!$C$199,'Données '!$E$199,'Données '!$G$199,'Données '!$I$199,'Données '!$K$199,'Données '!$M$199,'Données '!$O$199)</c15:sqref>
                        </c15:formulaRef>
                      </c:ext>
                    </c:extLst>
                    <c:strCache>
                      <c:ptCount val="7"/>
                      <c:pt idx="0">
                        <c:v>ESQ ==&gt; APD</c:v>
                      </c:pt>
                      <c:pt idx="1">
                        <c:v>Fin études/AO</c:v>
                      </c:pt>
                      <c:pt idx="2">
                        <c:v>OS</c:v>
                      </c:pt>
                      <c:pt idx="3">
                        <c:v>Travaux</c:v>
                      </c:pt>
                      <c:pt idx="4">
                        <c:v>GPA</c:v>
                      </c:pt>
                      <c:pt idx="5">
                        <c:v>Clôture défisc</c:v>
                      </c:pt>
                      <c:pt idx="6">
                        <c:v>STOP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('Données '!$C$202,'Données '!$E$202,'Données '!$G$202,'Données '!$I$202,'Données '!$K$202,'Données '!$M$202,'Données '!$O$202)</c15:sqref>
                        </c15:formulaRef>
                      </c:ext>
                    </c:extLst>
                    <c:numCache>
                      <c:formatCode>General</c:formatCode>
                      <c:ptCount val="7"/>
                      <c:pt idx="0">
                        <c:v>2</c:v>
                      </c:pt>
                      <c:pt idx="1">
                        <c:v>2</c:v>
                      </c:pt>
                      <c:pt idx="2">
                        <c:v>0</c:v>
                      </c:pt>
                      <c:pt idx="3">
                        <c:v>1</c:v>
                      </c:pt>
                      <c:pt idx="4">
                        <c:v>1</c:v>
                      </c:pt>
                      <c:pt idx="5">
                        <c:v>0</c:v>
                      </c:pt>
                      <c:pt idx="6">
                        <c:v>0</c:v>
                      </c:pt>
                    </c:numCache>
                  </c:numRef>
                </c:val>
                <c:extLst xmlns:c15="http://schemas.microsoft.com/office/drawing/2012/chart">
                  <c:ext xmlns:c16="http://schemas.microsoft.com/office/drawing/2014/chart" uri="{C3380CC4-5D6E-409C-BE32-E72D297353CC}">
                    <c16:uniqueId val="{00000142-9D65-47E6-A29B-84F0AE2A7889}"/>
                  </c:ext>
                </c:extLst>
              </c15:ser>
            </c15:filteredPieSeries>
          </c:ext>
        </c:extLst>
      </c:pieChart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0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6"/>
          <c:order val="6"/>
          <c:tx>
            <c:strRef>
              <c:f>'Données '!$B$205</c:f>
              <c:strCache>
                <c:ptCount val="1"/>
                <c:pt idx="0">
                  <c:v>SRI</c:v>
                </c:pt>
              </c:strCache>
            </c:strRef>
          </c:tx>
          <c:dPt>
            <c:idx val="0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DAB6-45DA-91D4-882BD746BCFB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DAB6-45DA-91D4-882BD746BCFB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5EDB-4BE8-B6CB-617A718FFB97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DAF1-41D9-9DB1-A178C939277F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9-5EDB-4BE8-B6CB-617A718FFB97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1D13-485A-BA6F-2734FB277198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D-5EDB-4BE8-B6CB-617A718FFB97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9-DAF1-41D9-9DB1-A178C939277F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1-5EDB-4BE8-B6CB-617A718FFB97}"/>
              </c:ext>
            </c:extLst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04ED-4AA9-BC50-D66038FCB951}"/>
              </c:ext>
            </c:extLst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5-5EDB-4BE8-B6CB-617A718FFB97}"/>
              </c:ext>
            </c:extLst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D-DAF1-41D9-9DB1-A178C939277F}"/>
              </c:ext>
            </c:extLst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9-1D13-485A-BA6F-2734FB277198}"/>
              </c:ext>
            </c:extLst>
          </c:dPt>
          <c:dPt>
            <c:idx val="1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1-DAF1-41D9-9DB1-A178C939277F}"/>
              </c:ext>
            </c:extLst>
          </c:dPt>
          <c:dPt>
            <c:idx val="1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DAB6-45DA-91D4-882BD746BCFB}"/>
              </c:ext>
            </c:extLst>
          </c:dPt>
          <c:dPt>
            <c:idx val="1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5-DAF1-41D9-9DB1-A178C939277F}"/>
              </c:ext>
            </c:extLst>
          </c:dPt>
          <c:dPt>
            <c:idx val="1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D-1D13-485A-BA6F-2734FB277198}"/>
              </c:ext>
            </c:extLst>
          </c:dPt>
          <c:dPt>
            <c:idx val="1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9-04ED-4AA9-BC50-D66038FCB951}"/>
              </c:ext>
            </c:extLst>
          </c:dPt>
          <c:dPt>
            <c:idx val="18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1-1D13-485A-BA6F-2734FB277198}"/>
              </c:ext>
            </c:extLst>
          </c:dPt>
          <c:dPt>
            <c:idx val="19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B-60BE-40C2-8D55-6632F2E349D0}"/>
              </c:ext>
            </c:extLst>
          </c:dPt>
          <c:dPt>
            <c:idx val="20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5-1D13-485A-BA6F-2734FB277198}"/>
              </c:ext>
            </c:extLst>
          </c:dPt>
          <c:dPt>
            <c:idx val="21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B-5544-4033-80F0-E894437B4A40}"/>
              </c:ext>
            </c:extLst>
          </c:dPt>
          <c:dPt>
            <c:idx val="22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F-60BE-40C2-8D55-6632F2E349D0}"/>
              </c:ext>
            </c:extLst>
          </c:dPt>
          <c:dPt>
            <c:idx val="23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B-A86C-40C3-A162-230FDBCEA487}"/>
              </c:ext>
            </c:extLst>
          </c:dPt>
          <c:dPt>
            <c:idx val="2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F-5544-4033-80F0-E894437B4A40}"/>
              </c:ext>
            </c:extLst>
          </c:dPt>
          <c:dPt>
            <c:idx val="2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7-B056-42B7-88DE-80749CFCCB2D}"/>
              </c:ext>
            </c:extLst>
          </c:dPt>
          <c:dPt>
            <c:idx val="2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F-A86C-40C3-A162-230FDBCEA487}"/>
              </c:ext>
            </c:extLst>
          </c:dPt>
          <c:dPt>
            <c:idx val="2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D-04ED-4AA9-BC50-D66038FCB951}"/>
              </c:ext>
            </c:extLst>
          </c:dPt>
          <c:dPt>
            <c:idx val="28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7-DAB6-45DA-91D4-882BD746BCFB}"/>
              </c:ext>
            </c:extLst>
          </c:dPt>
          <c:dPt>
            <c:idx val="29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1-04ED-4AA9-BC50-D66038FCB951}"/>
              </c:ext>
            </c:extLst>
          </c:dPt>
          <c:dPt>
            <c:idx val="30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B-A820-4364-A7E1-C676310E0661}"/>
              </c:ext>
            </c:extLst>
          </c:dPt>
          <c:dPt>
            <c:idx val="31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5-04ED-4AA9-BC50-D66038FCB951}"/>
              </c:ext>
            </c:extLst>
          </c:dPt>
          <c:dPt>
            <c:idx val="32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B-347F-48E4-BBCB-0EE59E974D1D}"/>
              </c:ext>
            </c:extLst>
          </c:dPt>
          <c:dPt>
            <c:idx val="33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F-A820-4364-A7E1-C676310E0661}"/>
              </c:ext>
            </c:extLst>
          </c:dPt>
          <c:dPt>
            <c:idx val="34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B-CA5B-4529-960D-90148F46BA02}"/>
              </c:ext>
            </c:extLst>
          </c:dPt>
          <c:dPt>
            <c:idx val="35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F-347F-48E4-BBCB-0EE59E974D1D}"/>
              </c:ext>
            </c:extLst>
          </c:dPt>
          <c:dPt>
            <c:idx val="36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B-22F6-405D-A58F-94551EB1A83D}"/>
              </c:ext>
            </c:extLst>
          </c:dPt>
          <c:dPt>
            <c:idx val="37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F-CA5B-4529-960D-90148F46BA02}"/>
              </c:ext>
            </c:extLst>
          </c:dPt>
          <c:dPt>
            <c:idx val="38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B-B056-42B7-88DE-80749CFCCB2D}"/>
              </c:ext>
            </c:extLst>
          </c:dPt>
          <c:dPt>
            <c:idx val="39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F-22F6-405D-A58F-94551EB1A83D}"/>
              </c:ext>
            </c:extLst>
          </c:dPt>
          <c:dPt>
            <c:idx val="40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9-DAB6-45DA-91D4-882BD746BCFB}"/>
              </c:ext>
            </c:extLst>
          </c:dPt>
          <c:dPt>
            <c:idx val="41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F-B056-42B7-88DE-80749CFCCB2D}"/>
              </c:ext>
            </c:extLst>
          </c:dPt>
          <c:dPt>
            <c:idx val="42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B-DAB6-45DA-91D4-882BD746BCFB}"/>
              </c:ext>
            </c:extLst>
          </c:dPt>
          <c:dPt>
            <c:idx val="43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3-B056-42B7-88DE-80749CFCCB2D}"/>
              </c:ext>
            </c:extLst>
          </c:dPt>
          <c:dPt>
            <c:idx val="44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D-1DB0-42E1-A747-60680EE0927B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('Données '!$C$199,'Données '!$E$199,'Données '!$G$199,'Données '!$I$199,'Données '!$K$199,'Données '!$M$199,'Données '!$O$199)</c:f>
              <c:strCache>
                <c:ptCount val="7"/>
                <c:pt idx="0">
                  <c:v>ESQ ==&gt; APD</c:v>
                </c:pt>
                <c:pt idx="1">
                  <c:v>Fin études/AO</c:v>
                </c:pt>
                <c:pt idx="2">
                  <c:v>OS</c:v>
                </c:pt>
                <c:pt idx="3">
                  <c:v>Travaux</c:v>
                </c:pt>
                <c:pt idx="4">
                  <c:v>GPA</c:v>
                </c:pt>
                <c:pt idx="5">
                  <c:v>Clôture défisc</c:v>
                </c:pt>
                <c:pt idx="6">
                  <c:v>STOP</c:v>
                </c:pt>
              </c:strCache>
            </c:strRef>
          </c:cat>
          <c:val>
            <c:numRef>
              <c:f>('Données '!$C$205,'Données '!$E$205,'Données '!$G$205,'Données '!$I$205,'Données '!$K$205,'Données '!$M$205,'Données '!$O$205)</c:f>
              <c:numCache>
                <c:formatCode>General</c:formatCode>
                <c:ptCount val="7"/>
                <c:pt idx="0">
                  <c:v>1</c:v>
                </c:pt>
                <c:pt idx="1">
                  <c:v>0</c:v>
                </c:pt>
                <c:pt idx="2">
                  <c:v>0</c:v>
                </c:pt>
                <c:pt idx="3">
                  <c:v>2</c:v>
                </c:pt>
                <c:pt idx="4">
                  <c:v>0</c:v>
                </c:pt>
                <c:pt idx="5">
                  <c:v>1</c:v>
                </c:pt>
                <c:pt idx="6">
                  <c:v>0</c:v>
                </c:pt>
              </c:numCache>
              <c:extLst/>
            </c:numRef>
          </c:val>
          <c:extLst>
            <c:ext xmlns:c16="http://schemas.microsoft.com/office/drawing/2014/chart" uri="{C3380CC4-5D6E-409C-BE32-E72D297353CC}">
              <c16:uniqueId val="{0000264C-68AF-4A70-B683-C4D0C1441A52}"/>
            </c:ext>
          </c:extLst>
        </c:ser>
        <c:ser>
          <c:idx val="7"/>
          <c:order val="7"/>
          <c:tx>
            <c:strRef>
              <c:f>'Données '!$B$206</c:f>
              <c:strCache>
                <c:ptCount val="1"/>
                <c:pt idx="0">
                  <c:v>VAF</c:v>
                </c:pt>
              </c:strCache>
            </c:strRef>
          </c:tx>
          <c:dPt>
            <c:idx val="0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F-DAB6-45DA-91D4-882BD746BCFB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1-DAB6-45DA-91D4-882BD746BCFB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F-5EDB-4BE8-B6CB-617A718FFB97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5-DAF1-41D9-9DB1-A178C939277F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3-5EDB-4BE8-B6CB-617A718FFB97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B-1D13-485A-BA6F-2734FB277198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7-5EDB-4BE8-B6CB-617A718FFB97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9-DAF1-41D9-9DB1-A178C939277F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B-5EDB-4BE8-B6CB-617A718FFB97}"/>
              </c:ext>
            </c:extLst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5-04ED-4AA9-BC50-D66038FCB951}"/>
              </c:ext>
            </c:extLst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F-5EDB-4BE8-B6CB-617A718FFB97}"/>
              </c:ext>
            </c:extLst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D-DAF1-41D9-9DB1-A178C939277F}"/>
              </c:ext>
            </c:extLst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F-1D13-485A-BA6F-2734FB277198}"/>
              </c:ext>
            </c:extLst>
          </c:dPt>
          <c:dPt>
            <c:idx val="1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1-DAF1-41D9-9DB1-A178C939277F}"/>
              </c:ext>
            </c:extLst>
          </c:dPt>
          <c:dPt>
            <c:idx val="1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3-DAB6-45DA-91D4-882BD746BCFB}"/>
              </c:ext>
            </c:extLst>
          </c:dPt>
          <c:dPt>
            <c:idx val="1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5-DAF1-41D9-9DB1-A178C939277F}"/>
              </c:ext>
            </c:extLst>
          </c:dPt>
          <c:dPt>
            <c:idx val="1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3-1D13-485A-BA6F-2734FB277198}"/>
              </c:ext>
            </c:extLst>
          </c:dPt>
          <c:dPt>
            <c:idx val="1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9-04ED-4AA9-BC50-D66038FCB951}"/>
              </c:ext>
            </c:extLst>
          </c:dPt>
          <c:dPt>
            <c:idx val="18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7-1D13-485A-BA6F-2734FB277198}"/>
              </c:ext>
            </c:extLst>
          </c:dPt>
          <c:dPt>
            <c:idx val="19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7-60BE-40C2-8D55-6632F2E349D0}"/>
              </c:ext>
            </c:extLst>
          </c:dPt>
          <c:dPt>
            <c:idx val="20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B-1D13-485A-BA6F-2734FB277198}"/>
              </c:ext>
            </c:extLst>
          </c:dPt>
          <c:dPt>
            <c:idx val="21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3-5544-4033-80F0-E894437B4A40}"/>
              </c:ext>
            </c:extLst>
          </c:dPt>
          <c:dPt>
            <c:idx val="22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B-60BE-40C2-8D55-6632F2E349D0}"/>
              </c:ext>
            </c:extLst>
          </c:dPt>
          <c:dPt>
            <c:idx val="23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F-A86C-40C3-A162-230FDBCEA487}"/>
              </c:ext>
            </c:extLst>
          </c:dPt>
          <c:dPt>
            <c:idx val="2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7-5544-4033-80F0-E894437B4A40}"/>
              </c:ext>
            </c:extLst>
          </c:dPt>
          <c:dPt>
            <c:idx val="2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D-B056-42B7-88DE-80749CFCCB2D}"/>
              </c:ext>
            </c:extLst>
          </c:dPt>
          <c:dPt>
            <c:idx val="2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3-A86C-40C3-A162-230FDBCEA487}"/>
              </c:ext>
            </c:extLst>
          </c:dPt>
          <c:dPt>
            <c:idx val="2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D-04ED-4AA9-BC50-D66038FCB951}"/>
              </c:ext>
            </c:extLst>
          </c:dPt>
          <c:dPt>
            <c:idx val="28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5-DAB6-45DA-91D4-882BD746BCFB}"/>
              </c:ext>
            </c:extLst>
          </c:dPt>
          <c:dPt>
            <c:idx val="29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1-04ED-4AA9-BC50-D66038FCB951}"/>
              </c:ext>
            </c:extLst>
          </c:dPt>
          <c:dPt>
            <c:idx val="30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1-A820-4364-A7E1-C676310E0661}"/>
              </c:ext>
            </c:extLst>
          </c:dPt>
          <c:dPt>
            <c:idx val="31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5-04ED-4AA9-BC50-D66038FCB951}"/>
              </c:ext>
            </c:extLst>
          </c:dPt>
          <c:dPt>
            <c:idx val="32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D-347F-48E4-BBCB-0EE59E974D1D}"/>
              </c:ext>
            </c:extLst>
          </c:dPt>
          <c:dPt>
            <c:idx val="33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5-A820-4364-A7E1-C676310E0661}"/>
              </c:ext>
            </c:extLst>
          </c:dPt>
          <c:dPt>
            <c:idx val="34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9-CA5B-4529-960D-90148F46BA02}"/>
              </c:ext>
            </c:extLst>
          </c:dPt>
          <c:dPt>
            <c:idx val="35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1-347F-48E4-BBCB-0EE59E974D1D}"/>
              </c:ext>
            </c:extLst>
          </c:dPt>
          <c:dPt>
            <c:idx val="36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5-22F6-405D-A58F-94551EB1A83D}"/>
              </c:ext>
            </c:extLst>
          </c:dPt>
          <c:dPt>
            <c:idx val="37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D-CA5B-4529-960D-90148F46BA02}"/>
              </c:ext>
            </c:extLst>
          </c:dPt>
          <c:dPt>
            <c:idx val="38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1-B056-42B7-88DE-80749CFCCB2D}"/>
              </c:ext>
            </c:extLst>
          </c:dPt>
          <c:dPt>
            <c:idx val="39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9-22F6-405D-A58F-94551EB1A83D}"/>
              </c:ext>
            </c:extLst>
          </c:dPt>
          <c:dPt>
            <c:idx val="40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7-DAB6-45DA-91D4-882BD746BCFB}"/>
              </c:ext>
            </c:extLst>
          </c:dPt>
          <c:dPt>
            <c:idx val="41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5-B056-42B7-88DE-80749CFCCB2D}"/>
              </c:ext>
            </c:extLst>
          </c:dPt>
          <c:dPt>
            <c:idx val="42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9-DAB6-45DA-91D4-882BD746BCFB}"/>
              </c:ext>
            </c:extLst>
          </c:dPt>
          <c:dPt>
            <c:idx val="43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9-B056-42B7-88DE-80749CFCCB2D}"/>
              </c:ext>
            </c:extLst>
          </c:dPt>
          <c:dPt>
            <c:idx val="44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B-1DB0-42E1-A747-60680EE0927B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('Données '!$C$199,'Données '!$E$199,'Données '!$G$199,'Données '!$I$199,'Données '!$K$199,'Données '!$M$199,'Données '!$O$199)</c:f>
              <c:strCache>
                <c:ptCount val="7"/>
                <c:pt idx="0">
                  <c:v>ESQ ==&gt; APD</c:v>
                </c:pt>
                <c:pt idx="1">
                  <c:v>Fin études/AO</c:v>
                </c:pt>
                <c:pt idx="2">
                  <c:v>OS</c:v>
                </c:pt>
                <c:pt idx="3">
                  <c:v>Travaux</c:v>
                </c:pt>
                <c:pt idx="4">
                  <c:v>GPA</c:v>
                </c:pt>
                <c:pt idx="5">
                  <c:v>Clôture défisc</c:v>
                </c:pt>
                <c:pt idx="6">
                  <c:v>STOP</c:v>
                </c:pt>
              </c:strCache>
            </c:strRef>
          </c:cat>
          <c:val>
            <c:numRef>
              <c:f>('Données '!$C$206,'Données '!$E$206,'Données '!$G$206,'Données '!$I$206,'Données '!$K$206,'Données '!$M$206,'Données '!$O$206)</c:f>
              <c:numCache>
                <c:formatCode>General</c:formatCode>
                <c:ptCount val="7"/>
                <c:pt idx="0">
                  <c:v>2</c:v>
                </c:pt>
                <c:pt idx="1">
                  <c:v>1</c:v>
                </c:pt>
                <c:pt idx="2">
                  <c:v>0</c:v>
                </c:pt>
                <c:pt idx="3">
                  <c:v>3</c:v>
                </c:pt>
                <c:pt idx="4">
                  <c:v>3</c:v>
                </c:pt>
                <c:pt idx="5">
                  <c:v>1</c:v>
                </c:pt>
                <c:pt idx="6">
                  <c:v>0</c:v>
                </c:pt>
              </c:numCache>
              <c:extLst/>
            </c:numRef>
          </c:val>
          <c:extLst>
            <c:ext xmlns:c16="http://schemas.microsoft.com/office/drawing/2014/chart" uri="{C3380CC4-5D6E-409C-BE32-E72D297353CC}">
              <c16:uniqueId val="{0000264D-68AF-4A70-B683-C4D0C1441A52}"/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  <c:extLst>
          <c:ext xmlns:c15="http://schemas.microsoft.com/office/drawing/2012/chart" uri="{02D57815-91ED-43cb-92C2-25804820EDAC}">
            <c15:filteredPieSeries>
              <c15:ser>
                <c:idx val="0"/>
                <c:order val="0"/>
                <c:tx>
                  <c:strRef>
                    <c:extLst>
                      <c:ext uri="{02D57815-91ED-43cb-92C2-25804820EDAC}">
                        <c15:formulaRef>
                          <c15:sqref>'Données '!$B$200</c15:sqref>
                        </c15:formulaRef>
                      </c:ext>
                    </c:extLst>
                    <c:strCache>
                      <c:ptCount val="1"/>
                      <c:pt idx="0">
                        <c:v>DBE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265D-1115-4863-B690-D60CB1C70F91}"/>
                    </c:ext>
                  </c:extLst>
                </c:dPt>
                <c:dPt>
                  <c:idx val="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F-DAB6-45DA-91D4-882BD746BCFB}"/>
                    </c:ext>
                  </c:extLst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B9-5EDB-4BE8-B6CB-617A718FFB97}"/>
                    </c:ext>
                  </c:extLst>
                </c:dPt>
                <c:dPt>
                  <c:idx val="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A5-DAF1-41D9-9DB1-A178C939277F}"/>
                    </c:ext>
                  </c:extLst>
                </c:dPt>
                <c:dPt>
                  <c:idx val="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BD-5EDB-4BE8-B6CB-617A718FFB97}"/>
                    </c:ext>
                  </c:extLst>
                </c:dPt>
                <c:dPt>
                  <c:idx val="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91-1D13-485A-BA6F-2734FB277198}"/>
                    </c:ext>
                  </c:extLst>
                </c:dPt>
                <c:dPt>
                  <c:idx val="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C1-5EDB-4BE8-B6CB-617A718FFB97}"/>
                    </c:ext>
                  </c:extLst>
                </c:dPt>
                <c:dPt>
                  <c:idx val="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A9-DAF1-41D9-9DB1-A178C939277F}"/>
                    </c:ext>
                  </c:extLst>
                </c:dPt>
                <c:dPt>
                  <c:idx val="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C5-5EDB-4BE8-B6CB-617A718FFB97}"/>
                    </c:ext>
                  </c:extLst>
                </c:dPt>
                <c:dPt>
                  <c:idx val="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65-04ED-4AA9-BC50-D66038FCB951}"/>
                    </c:ext>
                  </c:extLst>
                </c:dPt>
                <c:dPt>
                  <c:idx val="1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C9-5EDB-4BE8-B6CB-617A718FFB97}"/>
                    </c:ext>
                  </c:extLst>
                </c:dPt>
                <c:dPt>
                  <c:idx val="1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AD-DAF1-41D9-9DB1-A178C939277F}"/>
                    </c:ext>
                  </c:extLst>
                </c:dPt>
                <c:dPt>
                  <c:idx val="1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95-1D13-485A-BA6F-2734FB277198}"/>
                    </c:ext>
                  </c:extLst>
                </c:dPt>
                <c:dPt>
                  <c:idx val="1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B1-DAF1-41D9-9DB1-A178C939277F}"/>
                    </c:ext>
                  </c:extLst>
                </c:dPt>
                <c:dPt>
                  <c:idx val="1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21-DAB6-45DA-91D4-882BD746BCFB}"/>
                    </c:ext>
                  </c:extLst>
                </c:dPt>
                <c:dPt>
                  <c:idx val="1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B5-DAF1-41D9-9DB1-A178C939277F}"/>
                    </c:ext>
                  </c:extLst>
                </c:dPt>
                <c:dPt>
                  <c:idx val="1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99-1D13-485A-BA6F-2734FB277198}"/>
                    </c:ext>
                  </c:extLst>
                </c:dPt>
                <c:dPt>
                  <c:idx val="1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69-04ED-4AA9-BC50-D66038FCB951}"/>
                    </c:ext>
                  </c:extLst>
                </c:dPt>
                <c:dPt>
                  <c:idx val="1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9D-1D13-485A-BA6F-2734FB277198}"/>
                    </c:ext>
                  </c:extLst>
                </c:dPt>
                <c:dPt>
                  <c:idx val="1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83-60BE-40C2-8D55-6632F2E349D0}"/>
                    </c:ext>
                  </c:extLst>
                </c:dPt>
                <c:dPt>
                  <c:idx val="2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A1-1D13-485A-BA6F-2734FB277198}"/>
                    </c:ext>
                  </c:extLst>
                </c:dPt>
                <c:dPt>
                  <c:idx val="2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7B-5544-4033-80F0-E894437B4A40}"/>
                    </c:ext>
                  </c:extLst>
                </c:dPt>
                <c:dPt>
                  <c:idx val="2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87-60BE-40C2-8D55-6632F2E349D0}"/>
                    </c:ext>
                  </c:extLst>
                </c:dPt>
                <c:dPt>
                  <c:idx val="2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73-A86C-40C3-A162-230FDBCEA487}"/>
                    </c:ext>
                  </c:extLst>
                </c:dPt>
                <c:dPt>
                  <c:idx val="2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7F-5544-4033-80F0-E894437B4A40}"/>
                    </c:ext>
                  </c:extLst>
                </c:dPt>
                <c:dPt>
                  <c:idx val="2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33-B056-42B7-88DE-80749CFCCB2D}"/>
                    </c:ext>
                  </c:extLst>
                </c:dPt>
                <c:dPt>
                  <c:idx val="2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77-A86C-40C3-A162-230FDBCEA487}"/>
                    </c:ext>
                  </c:extLst>
                </c:dPt>
                <c:dPt>
                  <c:idx val="2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6D-04ED-4AA9-BC50-D66038FCB951}"/>
                    </c:ext>
                  </c:extLst>
                </c:dPt>
                <c:dPt>
                  <c:idx val="2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23-DAB6-45DA-91D4-882BD746BCFB}"/>
                    </c:ext>
                  </c:extLst>
                </c:dPt>
                <c:dPt>
                  <c:idx val="2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71-04ED-4AA9-BC50-D66038FCB951}"/>
                    </c:ext>
                  </c:extLst>
                </c:dPt>
                <c:dPt>
                  <c:idx val="3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57-A820-4364-A7E1-C676310E0661}"/>
                    </c:ext>
                  </c:extLst>
                </c:dPt>
                <c:dPt>
                  <c:idx val="3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75-04ED-4AA9-BC50-D66038FCB951}"/>
                    </c:ext>
                  </c:extLst>
                </c:dPt>
                <c:dPt>
                  <c:idx val="3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4F-347F-48E4-BBCB-0EE59E974D1D}"/>
                    </c:ext>
                  </c:extLst>
                </c:dPt>
                <c:dPt>
                  <c:idx val="3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5B-A820-4364-A7E1-C676310E0661}"/>
                    </c:ext>
                  </c:extLst>
                </c:dPt>
                <c:dPt>
                  <c:idx val="3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47-CA5B-4529-960D-90148F46BA02}"/>
                    </c:ext>
                  </c:extLst>
                </c:dPt>
                <c:dPt>
                  <c:idx val="3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53-347F-48E4-BBCB-0EE59E974D1D}"/>
                    </c:ext>
                  </c:extLst>
                </c:dPt>
                <c:dPt>
                  <c:idx val="3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3F-22F6-405D-A58F-94551EB1A83D}"/>
                    </c:ext>
                  </c:extLst>
                </c:dPt>
                <c:dPt>
                  <c:idx val="3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4B-CA5B-4529-960D-90148F46BA02}"/>
                    </c:ext>
                  </c:extLst>
                </c:dPt>
                <c:dPt>
                  <c:idx val="3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37-B056-42B7-88DE-80749CFCCB2D}"/>
                    </c:ext>
                  </c:extLst>
                </c:dPt>
                <c:dPt>
                  <c:idx val="3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43-22F6-405D-A58F-94551EB1A83D}"/>
                    </c:ext>
                  </c:extLst>
                </c:dPt>
                <c:dPt>
                  <c:idx val="4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25-DAB6-45DA-91D4-882BD746BCFB}"/>
                    </c:ext>
                  </c:extLst>
                </c:dPt>
                <c:dPt>
                  <c:idx val="4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3B-B056-42B7-88DE-80749CFCCB2D}"/>
                    </c:ext>
                  </c:extLst>
                </c:dPt>
                <c:dPt>
                  <c:idx val="4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27-DAB6-45DA-91D4-882BD746BCFB}"/>
                    </c:ext>
                  </c:extLst>
                </c:dPt>
                <c:dPt>
                  <c:idx val="4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3F-B056-42B7-88DE-80749CFCCB2D}"/>
                    </c:ext>
                  </c:extLst>
                </c:dPt>
                <c:dPt>
                  <c:idx val="4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B-596B-4D92-9954-301040E220ED}"/>
                    </c:ext>
                  </c:extLst>
                </c:dPt>
                <c:dPt>
                  <c:idx val="4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F-68AF-4A70-B683-C4D0C1441A52}"/>
                    </c:ext>
                  </c:extLst>
                </c:dPt>
                <c:dPt>
                  <c:idx val="4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B-2141-4CAD-8321-B92A7034E6C6}"/>
                    </c:ext>
                  </c:extLst>
                </c:dPt>
                <c:dPt>
                  <c:idx val="4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F-596B-4D92-9954-301040E220ED}"/>
                    </c:ext>
                  </c:extLst>
                </c:dPt>
                <c:dPt>
                  <c:idx val="4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7-59B7-4954-977F-FA691076C96E}"/>
                    </c:ext>
                  </c:extLst>
                </c:dPt>
                <c:dPt>
                  <c:idx val="4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F-2141-4CAD-8321-B92A7034E6C6}"/>
                    </c:ext>
                  </c:extLst>
                </c:dPt>
                <c:dPt>
                  <c:idx val="5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B-6E46-49EC-894E-39393BA39F32}"/>
                    </c:ext>
                  </c:extLst>
                </c:dPt>
                <c:dPt>
                  <c:idx val="5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3-2141-4CAD-8321-B92A7034E6C6}"/>
                    </c:ext>
                  </c:extLst>
                </c:dPt>
                <c:dPt>
                  <c:idx val="5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7-5597-45E1-A31B-D524361EF8E8}"/>
                    </c:ext>
                  </c:extLst>
                </c:dPt>
                <c:dPt>
                  <c:idx val="5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F-6E46-49EC-894E-39393BA39F32}"/>
                    </c:ext>
                  </c:extLst>
                </c:dPt>
                <c:dPt>
                  <c:idx val="5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B-59B7-4954-977F-FA691076C96E}"/>
                    </c:ext>
                  </c:extLst>
                </c:dPt>
                <c:dPt>
                  <c:idx val="5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3-6E46-49EC-894E-39393BA39F32}"/>
                    </c:ext>
                  </c:extLst>
                </c:dPt>
                <c:dPt>
                  <c:idx val="5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7-CC2F-4B13-B669-E8947D387CAC}"/>
                    </c:ext>
                  </c:extLst>
                </c:dPt>
                <c:dPt>
                  <c:idx val="5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F-59B7-4954-977F-FA691076C96E}"/>
                    </c:ext>
                  </c:extLst>
                </c:dPt>
                <c:dPt>
                  <c:idx val="5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B-5597-45E1-A31B-D524361EF8E8}"/>
                    </c:ext>
                  </c:extLst>
                </c:dPt>
                <c:dPt>
                  <c:idx val="5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3-59B7-4954-977F-FA691076C96E}"/>
                    </c:ext>
                  </c:extLst>
                </c:dPt>
                <c:dPt>
                  <c:idx val="6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7-23E5-487F-B5FC-486D3B6F33AD}"/>
                    </c:ext>
                  </c:extLst>
                </c:dPt>
                <c:dPt>
                  <c:idx val="6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F-5597-45E1-A31B-D524361EF8E8}"/>
                    </c:ext>
                  </c:extLst>
                </c:dPt>
                <c:dPt>
                  <c:idx val="6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B-CC2F-4B13-B669-E8947D387CAC}"/>
                    </c:ext>
                  </c:extLst>
                </c:dPt>
                <c:dPt>
                  <c:idx val="6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3-5597-45E1-A31B-D524361EF8E8}"/>
                    </c:ext>
                  </c:extLst>
                </c:dPt>
                <c:dPt>
                  <c:idx val="6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5-C9B8-4D8E-BB56-5E3C88048355}"/>
                    </c:ext>
                  </c:extLst>
                </c:dPt>
                <c:dPt>
                  <c:idx val="6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F-CC2F-4B13-B669-E8947D387CAC}"/>
                    </c:ext>
                  </c:extLst>
                </c:dPt>
                <c:dPt>
                  <c:idx val="6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B-23E5-487F-B5FC-486D3B6F33AD}"/>
                    </c:ext>
                  </c:extLst>
                </c:dPt>
                <c:dPt>
                  <c:idx val="6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3-CC2F-4B13-B669-E8947D387CAC}"/>
                    </c:ext>
                  </c:extLst>
                </c:dPt>
                <c:dPt>
                  <c:idx val="6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9-7E19-43B5-AFD0-AA8159069CAE}"/>
                    </c:ext>
                  </c:extLst>
                </c:dPt>
                <c:dPt>
                  <c:idx val="6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F-23E5-487F-B5FC-486D3B6F33AD}"/>
                    </c:ext>
                  </c:extLst>
                </c:dPt>
                <c:dPt>
                  <c:idx val="7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5-AB76-4C01-B0E9-A19E035A66C4}"/>
                    </c:ext>
                  </c:extLst>
                </c:dPt>
                <c:dPt>
                  <c:idx val="7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3-23E5-487F-B5FC-486D3B6F33AD}"/>
                    </c:ext>
                  </c:extLst>
                </c:dPt>
                <c:dPt>
                  <c:idx val="7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D-7E19-43B5-AFD0-AA8159069CAE}"/>
                    </c:ext>
                  </c:extLst>
                </c:dPt>
                <c:dPt>
                  <c:idx val="7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9-C9B8-4D8E-BB56-5E3C88048355}"/>
                    </c:ext>
                  </c:extLst>
                </c:dPt>
                <c:dPt>
                  <c:idx val="7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1-7E19-43B5-AFD0-AA8159069CAE}"/>
                    </c:ext>
                  </c:extLst>
                </c:dPt>
                <c:dPt>
                  <c:idx val="7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5-F87F-4084-9D74-26F54D9DCDC8}"/>
                    </c:ext>
                  </c:extLst>
                </c:dPt>
                <c:dPt>
                  <c:idx val="7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5-7E19-43B5-AFD0-AA8159069CAE}"/>
                    </c:ext>
                  </c:extLst>
                </c:dPt>
                <c:dPt>
                  <c:idx val="7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D-C9B8-4D8E-BB56-5E3C88048355}"/>
                    </c:ext>
                  </c:extLst>
                </c:dPt>
                <c:dPt>
                  <c:idx val="7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9-AB76-4C01-B0E9-A19E035A66C4}"/>
                    </c:ext>
                  </c:extLst>
                </c:dPt>
                <c:dPt>
                  <c:idx val="7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1-C9B8-4D8E-BB56-5E3C88048355}"/>
                    </c:ext>
                  </c:extLst>
                </c:dPt>
                <c:dPt>
                  <c:idx val="8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B-3B3F-4C0F-9836-96B52C253EE0}"/>
                    </c:ext>
                  </c:extLst>
                </c:dPt>
                <c:dPt>
                  <c:idx val="8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5-C9B8-4D8E-BB56-5E3C88048355}"/>
                    </c:ext>
                  </c:extLst>
                </c:dPt>
                <c:dPt>
                  <c:idx val="8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B-98AC-40BA-9E50-0D29417390DE}"/>
                    </c:ext>
                  </c:extLst>
                </c:dPt>
                <c:dPt>
                  <c:idx val="8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F-3B3F-4C0F-9836-96B52C253EE0}"/>
                    </c:ext>
                  </c:extLst>
                </c:dPt>
                <c:dPt>
                  <c:idx val="8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B-517B-4D48-8CAD-2056264369A5}"/>
                    </c:ext>
                  </c:extLst>
                </c:dPt>
                <c:dPt>
                  <c:idx val="8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F-98AC-40BA-9E50-0D29417390DE}"/>
                    </c:ext>
                  </c:extLst>
                </c:dPt>
                <c:dPt>
                  <c:idx val="8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5-E1EB-456A-BEBE-EF697796FB60}"/>
                    </c:ext>
                  </c:extLst>
                </c:dPt>
                <c:dPt>
                  <c:idx val="8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F-517B-4D48-8CAD-2056264369A5}"/>
                    </c:ext>
                  </c:extLst>
                </c:dPt>
                <c:dPt>
                  <c:idx val="8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D-AB76-4C01-B0E9-A19E035A66C4}"/>
                    </c:ext>
                  </c:extLst>
                </c:dPt>
                <c:dPt>
                  <c:idx val="8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9-F87F-4084-9D74-26F54D9DCDC8}"/>
                    </c:ext>
                  </c:extLst>
                </c:dPt>
                <c:dPt>
                  <c:idx val="9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1-AB76-4C01-B0E9-A19E035A66C4}"/>
                    </c:ext>
                  </c:extLst>
                </c:dPt>
                <c:dPt>
                  <c:idx val="9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B-A4AA-4F75-BAEF-2070A4AEC42C}"/>
                    </c:ext>
                  </c:extLst>
                </c:dPt>
                <c:dPt>
                  <c:idx val="9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5-AB76-4C01-B0E9-A19E035A66C4}"/>
                    </c:ext>
                  </c:extLst>
                </c:dPt>
                <c:dPt>
                  <c:idx val="9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7-DBCB-40F3-AAE3-A7FE123E6F99}"/>
                    </c:ext>
                  </c:extLst>
                </c:dPt>
                <c:dPt>
                  <c:idx val="9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F-A4AA-4F75-BAEF-2070A4AEC42C}"/>
                    </c:ext>
                  </c:extLst>
                </c:dPt>
                <c:dPt>
                  <c:idx val="9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D-F87F-4084-9D74-26F54D9DCDC8}"/>
                    </c:ext>
                  </c:extLst>
                </c:dPt>
                <c:dPt>
                  <c:idx val="9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9-DBCB-40F3-AAE3-A7FE123E6F99}"/>
                    </c:ext>
                  </c:extLst>
                </c:dPt>
                <c:dPt>
                  <c:idx val="9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1-F87F-4084-9D74-26F54D9DCDC8}"/>
                    </c:ext>
                  </c:extLst>
                </c:dPt>
                <c:dPt>
                  <c:idx val="9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B-DBCB-40F3-AAE3-A7FE123E6F99}"/>
                    </c:ext>
                  </c:extLst>
                </c:dPt>
                <c:dPt>
                  <c:idx val="9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5-F87F-4084-9D74-26F54D9DCDC8}"/>
                    </c:ext>
                  </c:extLst>
                </c:dPt>
                <c:dPt>
                  <c:idx val="10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B-13FB-448F-AF5B-C2B348685C35}"/>
                    </c:ext>
                  </c:extLst>
                </c:dPt>
                <c:dPt>
                  <c:idx val="10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F-DBCB-40F3-AAE3-A7FE123E6F99}"/>
                    </c:ext>
                  </c:extLst>
                </c:dPt>
                <c:dPt>
                  <c:idx val="10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B-A92A-4A17-B06C-67702BFFE346}"/>
                    </c:ext>
                  </c:extLst>
                </c:dPt>
                <c:dPt>
                  <c:idx val="10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F-13FB-448F-AF5B-C2B348685C35}"/>
                    </c:ext>
                  </c:extLst>
                </c:dPt>
                <c:dPt>
                  <c:idx val="10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B-8EF1-442F-839B-C60B34E428DD}"/>
                    </c:ext>
                  </c:extLst>
                </c:dPt>
                <c:dPt>
                  <c:idx val="10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F-A92A-4A17-B06C-67702BFFE346}"/>
                    </c:ext>
                  </c:extLst>
                </c:dPt>
                <c:dPt>
                  <c:idx val="10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B-4CA5-42DA-BA81-20CB7E934741}"/>
                    </c:ext>
                  </c:extLst>
                </c:dPt>
                <c:dPt>
                  <c:idx val="10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F-8EF1-442F-839B-C60B34E428DD}"/>
                    </c:ext>
                  </c:extLst>
                </c:dPt>
                <c:dPt>
                  <c:idx val="10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B-9CAE-4E2A-A7F6-AF1D53AB3760}"/>
                    </c:ext>
                  </c:extLst>
                </c:dPt>
                <c:dPt>
                  <c:idx val="10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F-4CA5-42DA-BA81-20CB7E934741}"/>
                    </c:ext>
                  </c:extLst>
                </c:dPt>
                <c:dPt>
                  <c:idx val="11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B-EB9E-43AE-8257-EBF97BE94AB2}"/>
                    </c:ext>
                  </c:extLst>
                </c:dPt>
                <c:dPt>
                  <c:idx val="11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F-9CAE-4E2A-A7F6-AF1D53AB3760}"/>
                    </c:ext>
                  </c:extLst>
                </c:dPt>
                <c:dPt>
                  <c:idx val="11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B-2D1E-4B95-BA8A-55C2EB21D0B5}"/>
                    </c:ext>
                  </c:extLst>
                </c:dPt>
                <c:dPt>
                  <c:idx val="11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F-EB9E-43AE-8257-EBF97BE94AB2}"/>
                    </c:ext>
                  </c:extLst>
                </c:dPt>
                <c:dPt>
                  <c:idx val="11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B-437E-4019-BCA3-0E44F50CDF0E}"/>
                    </c:ext>
                  </c:extLst>
                </c:dPt>
                <c:dPt>
                  <c:idx val="11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F-2D1E-4B95-BA8A-55C2EB21D0B5}"/>
                    </c:ext>
                  </c:extLst>
                </c:dPt>
                <c:dPt>
                  <c:idx val="11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7-E1EB-456A-BEBE-EF697796FB60}"/>
                    </c:ext>
                  </c:extLst>
                </c:dPt>
                <c:dPt>
                  <c:idx val="11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F-437E-4019-BCA3-0E44F50CDF0E}"/>
                    </c:ext>
                  </c:extLst>
                </c:dPt>
                <c:dPt>
                  <c:idx val="11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B-59A0-40C0-AD98-10F8257B2D31}"/>
                    </c:ext>
                  </c:extLst>
                </c:dPt>
                <c:dPt>
                  <c:idx val="11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3-437E-4019-BCA3-0E44F50CDF0E}"/>
                    </c:ext>
                  </c:extLst>
                </c:dPt>
                <c:dPt>
                  <c:idx val="12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9-0974-456E-BCB0-67A94FCED641}"/>
                    </c:ext>
                  </c:extLst>
                </c:dPt>
                <c:dPt>
                  <c:idx val="12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F-59A0-40C0-AD98-10F8257B2D31}"/>
                    </c:ext>
                  </c:extLst>
                </c:dPt>
                <c:dPt>
                  <c:idx val="12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9-E1EB-456A-BEBE-EF697796FB60}"/>
                    </c:ext>
                  </c:extLst>
                </c:dPt>
                <c:dPt>
                  <c:idx val="12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3-59A0-40C0-AD98-10F8257B2D31}"/>
                    </c:ext>
                  </c:extLst>
                </c:dPt>
                <c:dPt>
                  <c:idx val="12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D-0974-456E-BCB0-67A94FCED641}"/>
                    </c:ext>
                  </c:extLst>
                </c:dPt>
                <c:dPt>
                  <c:idx val="12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B-56D1-4B49-8296-DC493F75A797}"/>
                    </c:ext>
                  </c:extLst>
                </c:dPt>
                <c:dPt>
                  <c:idx val="12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1-0974-456E-BCB0-67A94FCED641}"/>
                    </c:ext>
                  </c:extLst>
                </c:dPt>
                <c:dPt>
                  <c:idx val="12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B-A1EF-4F42-976F-AFFE4AC901E9}"/>
                    </c:ext>
                  </c:extLst>
                </c:dPt>
                <c:dPt>
                  <c:idx val="12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F-56D1-4B49-8296-DC493F75A797}"/>
                    </c:ext>
                  </c:extLst>
                </c:dPt>
                <c:dPt>
                  <c:idx val="12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B-EFE7-4A98-8625-4B8E9E30DD15}"/>
                    </c:ext>
                  </c:extLst>
                </c:dPt>
                <c:dPt>
                  <c:idx val="13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F-A1EF-4F42-976F-AFFE4AC901E9}"/>
                    </c:ext>
                  </c:extLst>
                </c:dPt>
                <c:dPt>
                  <c:idx val="13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B-E1EB-456A-BEBE-EF697796FB60}"/>
                    </c:ext>
                  </c:extLst>
                </c:dPt>
                <c:dPt>
                  <c:idx val="13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F-EFE7-4A98-8625-4B8E9E30DD15}"/>
                    </c:ext>
                  </c:extLst>
                </c:dPt>
                <c:dPt>
                  <c:idx val="13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D-E1EB-456A-BEBE-EF697796FB60}"/>
                    </c:ext>
                  </c:extLst>
                </c:dPt>
                <c:dPt>
                  <c:idx val="13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F-E1EB-456A-BEBE-EF697796FB60}"/>
                    </c:ext>
                  </c:extLst>
                </c:dPt>
                <c:dPt>
                  <c:idx val="13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1-E1EB-456A-BEBE-EF697796FB60}"/>
                    </c:ext>
                  </c:extLst>
                </c:dPt>
                <c:dPt>
                  <c:idx val="13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3-E1EB-456A-BEBE-EF697796FB60}"/>
                    </c:ext>
                  </c:extLst>
                </c:dPt>
                <c:dPt>
                  <c:idx val="13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5-E1EB-456A-BEBE-EF697796FB60}"/>
                    </c:ext>
                  </c:extLst>
                </c:dPt>
                <c:dPt>
                  <c:idx val="13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7-E1EB-456A-BEBE-EF697796FB60}"/>
                    </c:ext>
                  </c:extLst>
                </c:dPt>
                <c:dPt>
                  <c:idx val="13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9-E1EB-456A-BEBE-EF697796FB60}"/>
                    </c:ext>
                  </c:extLst>
                </c:dPt>
                <c:dPt>
                  <c:idx val="14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B-E1EB-456A-BEBE-EF697796FB60}"/>
                    </c:ext>
                  </c:extLst>
                </c:dPt>
                <c:dPt>
                  <c:idx val="14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D-E1EB-456A-BEBE-EF697796FB60}"/>
                    </c:ext>
                  </c:extLst>
                </c:dPt>
                <c:dPt>
                  <c:idx val="14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F-E1EB-456A-BEBE-EF697796FB60}"/>
                    </c:ext>
                  </c:extLst>
                </c:dPt>
                <c:dPt>
                  <c:idx val="14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21-E1EB-456A-BEBE-EF697796FB60}"/>
                    </c:ext>
                  </c:extLst>
                </c:dPt>
                <c:dPt>
                  <c:idx val="14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23-E1EB-456A-BEBE-EF697796FB60}"/>
                    </c:ext>
                  </c:extLst>
                </c:dPt>
                <c:dPt>
                  <c:idx val="14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25-E1EB-456A-BEBE-EF697796FB60}"/>
                    </c:ext>
                  </c:extLst>
                </c:dPt>
                <c:dPt>
                  <c:idx val="14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27-E1EB-456A-BEBE-EF697796FB60}"/>
                    </c:ext>
                  </c:extLst>
                </c:dPt>
                <c:dPt>
                  <c:idx val="14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29-E1EB-456A-BEBE-EF697796FB60}"/>
                    </c:ext>
                  </c:extLst>
                </c:dPt>
                <c:dPt>
                  <c:idx val="14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2B-E1EB-456A-BEBE-EF697796FB60}"/>
                    </c:ext>
                  </c:extLst>
                </c:dPt>
                <c:dPt>
                  <c:idx val="14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2D-E1EB-456A-BEBE-EF697796FB60}"/>
                    </c:ext>
                  </c:extLst>
                </c:dPt>
                <c:dPt>
                  <c:idx val="15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2F-E1EB-456A-BEBE-EF697796FB60}"/>
                    </c:ext>
                  </c:extLst>
                </c:dPt>
                <c:dPt>
                  <c:idx val="15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31-E1EB-456A-BEBE-EF697796FB60}"/>
                    </c:ext>
                  </c:extLst>
                </c:dPt>
                <c:dPt>
                  <c:idx val="15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33-E1EB-456A-BEBE-EF697796FB60}"/>
                    </c:ext>
                  </c:extLst>
                </c:dPt>
                <c:dPt>
                  <c:idx val="15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35-E1EB-456A-BEBE-EF697796FB60}"/>
                    </c:ext>
                  </c:extLst>
                </c:dPt>
                <c:dPt>
                  <c:idx val="15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37-E1EB-456A-BEBE-EF697796FB60}"/>
                    </c:ext>
                  </c:extLst>
                </c:dPt>
                <c:dPt>
                  <c:idx val="15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39-E1EB-456A-BEBE-EF697796FB60}"/>
                    </c:ext>
                  </c:extLst>
                </c:dPt>
                <c:dPt>
                  <c:idx val="15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3B-E1EB-456A-BEBE-EF697796FB60}"/>
                    </c:ext>
                  </c:extLst>
                </c:dPt>
                <c:dPt>
                  <c:idx val="15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3D-E1EB-456A-BEBE-EF697796FB60}"/>
                    </c:ext>
                  </c:extLst>
                </c:dPt>
                <c:dPt>
                  <c:idx val="15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3F-E1EB-456A-BEBE-EF697796FB60}"/>
                    </c:ext>
                  </c:extLst>
                </c:dPt>
                <c:dPt>
                  <c:idx val="15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41-E1EB-456A-BEBE-EF697796FB60}"/>
                    </c:ext>
                  </c:extLst>
                </c:dPt>
                <c:dPt>
                  <c:idx val="16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43-E1EB-456A-BEBE-EF697796FB60}"/>
                    </c:ext>
                  </c:extLst>
                </c:dPt>
                <c:dPt>
                  <c:idx val="16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45-E1EB-456A-BEBE-EF697796FB60}"/>
                    </c:ext>
                  </c:extLst>
                </c:dPt>
                <c:dPt>
                  <c:idx val="16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47-E1EB-456A-BEBE-EF697796FB60}"/>
                    </c:ext>
                  </c:extLst>
                </c:dPt>
                <c:dPt>
                  <c:idx val="16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49-E1EB-456A-BEBE-EF697796FB60}"/>
                    </c:ext>
                  </c:extLst>
                </c:dPt>
                <c:dPt>
                  <c:idx val="16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4B-E1EB-456A-BEBE-EF697796FB60}"/>
                    </c:ext>
                  </c:extLst>
                </c:dPt>
                <c:dPt>
                  <c:idx val="16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4D-E1EB-456A-BEBE-EF697796FB60}"/>
                    </c:ext>
                  </c:extLst>
                </c:dPt>
                <c:dPt>
                  <c:idx val="16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4F-E1EB-456A-BEBE-EF697796FB60}"/>
                    </c:ext>
                  </c:extLst>
                </c:dPt>
                <c:dPt>
                  <c:idx val="16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51-E1EB-456A-BEBE-EF697796FB60}"/>
                    </c:ext>
                  </c:extLst>
                </c:dPt>
                <c:dPt>
                  <c:idx val="16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53-E1EB-456A-BEBE-EF697796FB60}"/>
                    </c:ext>
                  </c:extLst>
                </c:dPt>
                <c:dPt>
                  <c:idx val="16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55-E1EB-456A-BEBE-EF697796FB60}"/>
                    </c:ext>
                  </c:extLst>
                </c:dPt>
                <c:dPt>
                  <c:idx val="17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57-E1EB-456A-BEBE-EF697796FB60}"/>
                    </c:ext>
                  </c:extLst>
                </c:dPt>
                <c:dPt>
                  <c:idx val="17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59-E1EB-456A-BEBE-EF697796FB60}"/>
                    </c:ext>
                  </c:extLst>
                </c:dPt>
                <c:dPt>
                  <c:idx val="17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5B-E1EB-456A-BEBE-EF697796FB60}"/>
                    </c:ext>
                  </c:extLst>
                </c:dPt>
                <c:dPt>
                  <c:idx val="17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5D-E1EB-456A-BEBE-EF697796FB60}"/>
                    </c:ext>
                  </c:extLst>
                </c:dPt>
                <c:dPt>
                  <c:idx val="17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5F-E1EB-456A-BEBE-EF697796FB60}"/>
                    </c:ext>
                  </c:extLst>
                </c:dPt>
                <c:dPt>
                  <c:idx val="17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61-E1EB-456A-BEBE-EF697796FB60}"/>
                    </c:ext>
                  </c:extLst>
                </c:dPt>
                <c:dPt>
                  <c:idx val="17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63-E1EB-456A-BEBE-EF697796FB60}"/>
                    </c:ext>
                  </c:extLst>
                </c:dPt>
                <c:dPt>
                  <c:idx val="17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65-E1EB-456A-BEBE-EF697796FB60}"/>
                    </c:ext>
                  </c:extLst>
                </c:dPt>
                <c:dPt>
                  <c:idx val="17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67-E1EB-456A-BEBE-EF697796FB60}"/>
                    </c:ext>
                  </c:extLst>
                </c:dPt>
                <c:dPt>
                  <c:idx val="17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69-E1EB-456A-BEBE-EF697796FB60}"/>
                    </c:ext>
                  </c:extLst>
                </c:dPt>
                <c:dPt>
                  <c:idx val="18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6B-E1EB-456A-BEBE-EF697796FB60}"/>
                    </c:ext>
                  </c:extLst>
                </c:dPt>
                <c:dPt>
                  <c:idx val="18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6D-E1EB-456A-BEBE-EF697796FB60}"/>
                    </c:ext>
                  </c:extLst>
                </c:dPt>
                <c:dPt>
                  <c:idx val="18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6F-E1EB-456A-BEBE-EF697796FB60}"/>
                    </c:ext>
                  </c:extLst>
                </c:dPt>
                <c:dPt>
                  <c:idx val="18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71-E1EB-456A-BEBE-EF697796FB60}"/>
                    </c:ext>
                  </c:extLst>
                </c:dPt>
                <c:dPt>
                  <c:idx val="18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73-E1EB-456A-BEBE-EF697796FB60}"/>
                    </c:ext>
                  </c:extLst>
                </c:dPt>
                <c:dPt>
                  <c:idx val="18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75-E1EB-456A-BEBE-EF697796FB60}"/>
                    </c:ext>
                  </c:extLst>
                </c:dPt>
                <c:dPt>
                  <c:idx val="18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77-E1EB-456A-BEBE-EF697796FB60}"/>
                    </c:ext>
                  </c:extLst>
                </c:dPt>
                <c:dPt>
                  <c:idx val="18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79-E1EB-456A-BEBE-EF697796FB60}"/>
                    </c:ext>
                  </c:extLst>
                </c:dPt>
                <c:dPt>
                  <c:idx val="18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7B-E1EB-456A-BEBE-EF697796FB60}"/>
                    </c:ext>
                  </c:extLst>
                </c:dPt>
                <c:dPt>
                  <c:idx val="18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7D-E1EB-456A-BEBE-EF697796FB60}"/>
                    </c:ext>
                  </c:extLst>
                </c:dPt>
                <c:dPt>
                  <c:idx val="19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7F-E1EB-456A-BEBE-EF697796FB60}"/>
                    </c:ext>
                  </c:extLst>
                </c:dPt>
                <c:dPt>
                  <c:idx val="19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81-E1EB-456A-BEBE-EF697796FB60}"/>
                    </c:ext>
                  </c:extLst>
                </c:dPt>
                <c:dPt>
                  <c:idx val="19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83-E1EB-456A-BEBE-EF697796FB60}"/>
                    </c:ext>
                  </c:extLst>
                </c:dPt>
                <c:dPt>
                  <c:idx val="19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85-E1EB-456A-BEBE-EF697796FB60}"/>
                    </c:ext>
                  </c:extLst>
                </c:dPt>
                <c:dPt>
                  <c:idx val="19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87-E1EB-456A-BEBE-EF697796FB60}"/>
                    </c:ext>
                  </c:extLst>
                </c:dPt>
                <c:dPt>
                  <c:idx val="19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89-E1EB-456A-BEBE-EF697796FB60}"/>
                    </c:ext>
                  </c:extLst>
                </c:dPt>
                <c:dPt>
                  <c:idx val="19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8B-E1EB-456A-BEBE-EF697796FB60}"/>
                    </c:ext>
                  </c:extLst>
                </c:dPt>
                <c:dPt>
                  <c:idx val="19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8D-E1EB-456A-BEBE-EF697796FB60}"/>
                    </c:ext>
                  </c:extLst>
                </c:dPt>
                <c:dPt>
                  <c:idx val="19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8F-E1EB-456A-BEBE-EF697796FB60}"/>
                    </c:ext>
                  </c:extLst>
                </c:dPt>
                <c:dPt>
                  <c:idx val="19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91-E1EB-456A-BEBE-EF697796FB60}"/>
                    </c:ext>
                  </c:extLst>
                </c:dPt>
                <c:dPt>
                  <c:idx val="20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93-E1EB-456A-BEBE-EF697796FB60}"/>
                    </c:ext>
                  </c:extLst>
                </c:dPt>
                <c:dPt>
                  <c:idx val="20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95-E1EB-456A-BEBE-EF697796FB60}"/>
                    </c:ext>
                  </c:extLst>
                </c:dPt>
                <c:dPt>
                  <c:idx val="20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97-E1EB-456A-BEBE-EF697796FB60}"/>
                    </c:ext>
                  </c:extLst>
                </c:dPt>
                <c:dPt>
                  <c:idx val="20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99-E1EB-456A-BEBE-EF697796FB60}"/>
                    </c:ext>
                  </c:extLst>
                </c:dPt>
                <c:dPt>
                  <c:idx val="20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9B-E1EB-456A-BEBE-EF697796FB60}"/>
                    </c:ext>
                  </c:extLst>
                </c:dPt>
                <c:dPt>
                  <c:idx val="20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9D-E1EB-456A-BEBE-EF697796FB60}"/>
                    </c:ext>
                  </c:extLst>
                </c:dPt>
                <c:dPt>
                  <c:idx val="20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9F-E1EB-456A-BEBE-EF697796FB60}"/>
                    </c:ext>
                  </c:extLst>
                </c:dPt>
                <c:dPt>
                  <c:idx val="20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A1-E1EB-456A-BEBE-EF697796FB60}"/>
                    </c:ext>
                  </c:extLst>
                </c:dPt>
                <c:dPt>
                  <c:idx val="20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A3-E1EB-456A-BEBE-EF697796FB60}"/>
                    </c:ext>
                  </c:extLst>
                </c:dPt>
                <c:dPt>
                  <c:idx val="20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A5-E1EB-456A-BEBE-EF697796FB60}"/>
                    </c:ext>
                  </c:extLst>
                </c:dPt>
                <c:dPt>
                  <c:idx val="21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A7-E1EB-456A-BEBE-EF697796FB60}"/>
                    </c:ext>
                  </c:extLst>
                </c:dPt>
                <c:dPt>
                  <c:idx val="21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A9-E1EB-456A-BEBE-EF697796FB60}"/>
                    </c:ext>
                  </c:extLst>
                </c:dPt>
                <c:dPt>
                  <c:idx val="21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AB-E1EB-456A-BEBE-EF697796FB60}"/>
                    </c:ext>
                  </c:extLst>
                </c:dPt>
                <c:dPt>
                  <c:idx val="21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AD-E1EB-456A-BEBE-EF697796FB60}"/>
                    </c:ext>
                  </c:extLst>
                </c:dPt>
                <c:dPt>
                  <c:idx val="21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AF-E1EB-456A-BEBE-EF697796FB60}"/>
                    </c:ext>
                  </c:extLst>
                </c:dPt>
                <c:dPt>
                  <c:idx val="21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B1-E1EB-456A-BEBE-EF697796FB60}"/>
                    </c:ext>
                  </c:extLst>
                </c:dPt>
                <c:dPt>
                  <c:idx val="21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B3-E1EB-456A-BEBE-EF697796FB60}"/>
                    </c:ext>
                  </c:extLst>
                </c:dPt>
                <c:dPt>
                  <c:idx val="21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B5-E1EB-456A-BEBE-EF697796FB60}"/>
                    </c:ext>
                  </c:extLst>
                </c:dPt>
                <c:dPt>
                  <c:idx val="21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B7-E1EB-456A-BEBE-EF697796FB60}"/>
                    </c:ext>
                  </c:extLst>
                </c:dPt>
                <c:dPt>
                  <c:idx val="21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B9-E1EB-456A-BEBE-EF697796FB60}"/>
                    </c:ext>
                  </c:extLst>
                </c:dPt>
                <c:dPt>
                  <c:idx val="22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BB-E1EB-456A-BEBE-EF697796FB60}"/>
                    </c:ext>
                  </c:extLst>
                </c:dPt>
                <c:dPt>
                  <c:idx val="22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BD-E1EB-456A-BEBE-EF697796FB60}"/>
                    </c:ext>
                  </c:extLst>
                </c:dPt>
                <c:dPt>
                  <c:idx val="22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BF-E1EB-456A-BEBE-EF697796FB60}"/>
                    </c:ext>
                  </c:extLst>
                </c:dPt>
                <c:dPt>
                  <c:idx val="22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C1-E1EB-456A-BEBE-EF697796FB60}"/>
                    </c:ext>
                  </c:extLst>
                </c:dPt>
                <c:dPt>
                  <c:idx val="22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C3-E1EB-456A-BEBE-EF697796FB60}"/>
                    </c:ext>
                  </c:extLst>
                </c:dPt>
                <c:dPt>
                  <c:idx val="22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C5-E1EB-456A-BEBE-EF697796FB60}"/>
                    </c:ext>
                  </c:extLst>
                </c:dPt>
                <c:dPt>
                  <c:idx val="22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C7-E1EB-456A-BEBE-EF697796FB60}"/>
                    </c:ext>
                  </c:extLst>
                </c:dPt>
                <c:dPt>
                  <c:idx val="22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C9-E1EB-456A-BEBE-EF697796FB60}"/>
                    </c:ext>
                  </c:extLst>
                </c:dPt>
                <c:dPt>
                  <c:idx val="22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CB-E1EB-456A-BEBE-EF697796FB60}"/>
                    </c:ext>
                  </c:extLst>
                </c:dPt>
                <c:dPt>
                  <c:idx val="22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CD-E1EB-456A-BEBE-EF697796FB60}"/>
                    </c:ext>
                  </c:extLst>
                </c:dPt>
                <c:dPt>
                  <c:idx val="23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CF-E1EB-456A-BEBE-EF697796FB60}"/>
                    </c:ext>
                  </c:extLst>
                </c:dPt>
                <c:dPt>
                  <c:idx val="23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D1-E1EB-456A-BEBE-EF697796FB60}"/>
                    </c:ext>
                  </c:extLst>
                </c:dPt>
                <c:dPt>
                  <c:idx val="23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D3-E1EB-456A-BEBE-EF697796FB60}"/>
                    </c:ext>
                  </c:extLst>
                </c:dPt>
                <c:dPt>
                  <c:idx val="23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D5-E1EB-456A-BEBE-EF697796FB60}"/>
                    </c:ext>
                  </c:extLst>
                </c:dPt>
                <c:dPt>
                  <c:idx val="23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D7-E1EB-456A-BEBE-EF697796FB60}"/>
                    </c:ext>
                  </c:extLst>
                </c:dPt>
                <c:dPt>
                  <c:idx val="23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D9-E1EB-456A-BEBE-EF697796FB60}"/>
                    </c:ext>
                  </c:extLst>
                </c:dPt>
                <c:dPt>
                  <c:idx val="23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DB-E1EB-456A-BEBE-EF697796FB60}"/>
                    </c:ext>
                  </c:extLst>
                </c:dPt>
                <c:dPt>
                  <c:idx val="23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DD-E1EB-456A-BEBE-EF697796FB60}"/>
                    </c:ext>
                  </c:extLst>
                </c:dPt>
                <c:dPt>
                  <c:idx val="23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DF-E1EB-456A-BEBE-EF697796FB60}"/>
                    </c:ext>
                  </c:extLst>
                </c:dPt>
                <c:dPt>
                  <c:idx val="23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E1-E1EB-456A-BEBE-EF697796FB60}"/>
                    </c:ext>
                  </c:extLst>
                </c:dPt>
                <c:dPt>
                  <c:idx val="24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E3-E1EB-456A-BEBE-EF697796FB60}"/>
                    </c:ext>
                  </c:extLst>
                </c:dPt>
                <c:dPt>
                  <c:idx val="24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E5-E1EB-456A-BEBE-EF697796FB60}"/>
                    </c:ext>
                  </c:extLst>
                </c:dPt>
                <c:dPt>
                  <c:idx val="24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E7-E1EB-456A-BEBE-EF697796FB60}"/>
                    </c:ext>
                  </c:extLst>
                </c:dPt>
                <c:dPt>
                  <c:idx val="24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E9-E1EB-456A-BEBE-EF697796FB60}"/>
                    </c:ext>
                  </c:extLst>
                </c:dPt>
                <c:dPt>
                  <c:idx val="24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EB-E1EB-456A-BEBE-EF697796FB60}"/>
                    </c:ext>
                  </c:extLst>
                </c:dPt>
                <c:dPt>
                  <c:idx val="24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ED-E1EB-456A-BEBE-EF697796FB60}"/>
                    </c:ext>
                  </c:extLst>
                </c:dPt>
                <c:dPt>
                  <c:idx val="24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EF-E1EB-456A-BEBE-EF697796FB60}"/>
                    </c:ext>
                  </c:extLst>
                </c:dPt>
                <c:dPt>
                  <c:idx val="24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F1-E1EB-456A-BEBE-EF697796FB60}"/>
                    </c:ext>
                  </c:extLst>
                </c:dPt>
                <c:dPt>
                  <c:idx val="24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F3-E1EB-456A-BEBE-EF697796FB60}"/>
                    </c:ext>
                  </c:extLst>
                </c:dPt>
                <c:dPt>
                  <c:idx val="24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F5-E1EB-456A-BEBE-EF697796FB60}"/>
                    </c:ext>
                  </c:extLst>
                </c:dPt>
                <c:dPt>
                  <c:idx val="25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F7-E1EB-456A-BEBE-EF697796FB60}"/>
                    </c:ext>
                  </c:extLst>
                </c:dPt>
                <c:dPt>
                  <c:idx val="25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F9-E1EB-456A-BEBE-EF697796FB60}"/>
                    </c:ext>
                  </c:extLst>
                </c:dPt>
                <c:dPt>
                  <c:idx val="25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FB-E1EB-456A-BEBE-EF697796FB60}"/>
                    </c:ext>
                  </c:extLst>
                </c:dPt>
                <c:dPt>
                  <c:idx val="25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FD-E1EB-456A-BEBE-EF697796FB60}"/>
                    </c:ext>
                  </c:extLst>
                </c:dPt>
                <c:dPt>
                  <c:idx val="25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FF-E1EB-456A-BEBE-EF697796FB60}"/>
                    </c:ext>
                  </c:extLst>
                </c:dPt>
                <c:dPt>
                  <c:idx val="25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01-E1EB-456A-BEBE-EF697796FB60}"/>
                    </c:ext>
                  </c:extLst>
                </c:dPt>
                <c:dPt>
                  <c:idx val="25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03-E1EB-456A-BEBE-EF697796FB60}"/>
                    </c:ext>
                  </c:extLst>
                </c:dPt>
                <c:dPt>
                  <c:idx val="25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05-E1EB-456A-BEBE-EF697796FB60}"/>
                    </c:ext>
                  </c:extLst>
                </c:dPt>
                <c:dPt>
                  <c:idx val="25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07-E1EB-456A-BEBE-EF697796FB60}"/>
                    </c:ext>
                  </c:extLst>
                </c:dPt>
                <c:dPt>
                  <c:idx val="25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09-E1EB-456A-BEBE-EF697796FB60}"/>
                    </c:ext>
                  </c:extLst>
                </c:dPt>
                <c:dPt>
                  <c:idx val="26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0B-E1EB-456A-BEBE-EF697796FB60}"/>
                    </c:ext>
                  </c:extLst>
                </c:dPt>
                <c:dPt>
                  <c:idx val="26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0D-E1EB-456A-BEBE-EF697796FB60}"/>
                    </c:ext>
                  </c:extLst>
                </c:dPt>
                <c:dPt>
                  <c:idx val="26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0F-E1EB-456A-BEBE-EF697796FB60}"/>
                    </c:ext>
                  </c:extLst>
                </c:dPt>
                <c:dPt>
                  <c:idx val="26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11-E1EB-456A-BEBE-EF697796FB60}"/>
                    </c:ext>
                  </c:extLst>
                </c:dPt>
                <c:dPt>
                  <c:idx val="26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13-E1EB-456A-BEBE-EF697796FB60}"/>
                    </c:ext>
                  </c:extLst>
                </c:dPt>
                <c:dPt>
                  <c:idx val="26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15-E1EB-456A-BEBE-EF697796FB60}"/>
                    </c:ext>
                  </c:extLst>
                </c:dPt>
                <c:dPt>
                  <c:idx val="26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17-E1EB-456A-BEBE-EF697796FB60}"/>
                    </c:ext>
                  </c:extLst>
                </c:dPt>
                <c:dPt>
                  <c:idx val="26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19-E1EB-456A-BEBE-EF697796FB60}"/>
                    </c:ext>
                  </c:extLst>
                </c:dPt>
                <c:dPt>
                  <c:idx val="26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1B-E1EB-456A-BEBE-EF697796FB60}"/>
                    </c:ext>
                  </c:extLst>
                </c:dPt>
                <c:dPt>
                  <c:idx val="26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1D-E1EB-456A-BEBE-EF697796FB60}"/>
                    </c:ext>
                  </c:extLst>
                </c:dPt>
                <c:dPt>
                  <c:idx val="27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1F-E1EB-456A-BEBE-EF697796FB60}"/>
                    </c:ext>
                  </c:extLst>
                </c:dPt>
                <c:dPt>
                  <c:idx val="27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21-E1EB-456A-BEBE-EF697796FB60}"/>
                    </c:ext>
                  </c:extLst>
                </c:dPt>
                <c:dPt>
                  <c:idx val="27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23-E1EB-456A-BEBE-EF697796FB60}"/>
                    </c:ext>
                  </c:extLst>
                </c:dPt>
                <c:dPt>
                  <c:idx val="27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25-E1EB-456A-BEBE-EF697796FB60}"/>
                    </c:ext>
                  </c:extLst>
                </c:dPt>
                <c:dPt>
                  <c:idx val="27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27-E1EB-456A-BEBE-EF697796FB60}"/>
                    </c:ext>
                  </c:extLst>
                </c:dPt>
                <c:dPt>
                  <c:idx val="27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29-E1EB-456A-BEBE-EF697796FB60}"/>
                    </c:ext>
                  </c:extLst>
                </c:dPt>
                <c:dPt>
                  <c:idx val="27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2B-E1EB-456A-BEBE-EF697796FB60}"/>
                    </c:ext>
                  </c:extLst>
                </c:dPt>
                <c:dPt>
                  <c:idx val="27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2D-E1EB-456A-BEBE-EF697796FB60}"/>
                    </c:ext>
                  </c:extLst>
                </c:dPt>
                <c:dPt>
                  <c:idx val="27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2F-E1EB-456A-BEBE-EF697796FB60}"/>
                    </c:ext>
                  </c:extLst>
                </c:dPt>
                <c:dPt>
                  <c:idx val="27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31-E1EB-456A-BEBE-EF697796FB60}"/>
                    </c:ext>
                  </c:extLst>
                </c:dPt>
                <c:dPt>
                  <c:idx val="28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33-E1EB-456A-BEBE-EF697796FB60}"/>
                    </c:ext>
                  </c:extLst>
                </c:dPt>
                <c:dPt>
                  <c:idx val="28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35-E1EB-456A-BEBE-EF697796FB60}"/>
                    </c:ext>
                  </c:extLst>
                </c:dPt>
                <c:dPt>
                  <c:idx val="28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37-E1EB-456A-BEBE-EF697796FB60}"/>
                    </c:ext>
                  </c:extLst>
                </c:dPt>
                <c:dPt>
                  <c:idx val="28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39-E1EB-456A-BEBE-EF697796FB60}"/>
                    </c:ext>
                  </c:extLst>
                </c:dPt>
                <c:dPt>
                  <c:idx val="28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3B-E1EB-456A-BEBE-EF697796FB60}"/>
                    </c:ext>
                  </c:extLst>
                </c:dPt>
                <c:dPt>
                  <c:idx val="28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3D-E1EB-456A-BEBE-EF697796FB60}"/>
                    </c:ext>
                  </c:extLst>
                </c:dPt>
                <c:dPt>
                  <c:idx val="28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3F-E1EB-456A-BEBE-EF697796FB60}"/>
                    </c:ext>
                  </c:extLst>
                </c:dPt>
                <c:dPt>
                  <c:idx val="28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41-E1EB-456A-BEBE-EF697796FB60}"/>
                    </c:ext>
                  </c:extLst>
                </c:dPt>
                <c:dPt>
                  <c:idx val="28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43-E1EB-456A-BEBE-EF697796FB60}"/>
                    </c:ext>
                  </c:extLst>
                </c:dPt>
                <c:dPt>
                  <c:idx val="28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45-E1EB-456A-BEBE-EF697796FB60}"/>
                    </c:ext>
                  </c:extLst>
                </c:dPt>
                <c:dPt>
                  <c:idx val="29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47-E1EB-456A-BEBE-EF697796FB60}"/>
                    </c:ext>
                  </c:extLst>
                </c:dPt>
                <c:dPt>
                  <c:idx val="29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49-E1EB-456A-BEBE-EF697796FB60}"/>
                    </c:ext>
                  </c:extLst>
                </c:dPt>
                <c:dPt>
                  <c:idx val="29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4B-E1EB-456A-BEBE-EF697796FB60}"/>
                    </c:ext>
                  </c:extLst>
                </c:dPt>
                <c:dPt>
                  <c:idx val="29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4D-E1EB-456A-BEBE-EF697796FB60}"/>
                    </c:ext>
                  </c:extLst>
                </c:dPt>
                <c:dPt>
                  <c:idx val="29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4F-E1EB-456A-BEBE-EF697796FB60}"/>
                    </c:ext>
                  </c:extLst>
                </c:dPt>
                <c:dPt>
                  <c:idx val="29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51-E1EB-456A-BEBE-EF697796FB60}"/>
                    </c:ext>
                  </c:extLst>
                </c:dPt>
                <c:dPt>
                  <c:idx val="29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53-E1EB-456A-BEBE-EF697796FB60}"/>
                    </c:ext>
                  </c:extLst>
                </c:dPt>
                <c:dPt>
                  <c:idx val="29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55-E1EB-456A-BEBE-EF697796FB60}"/>
                    </c:ext>
                  </c:extLst>
                </c:dPt>
                <c:dPt>
                  <c:idx val="29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57-E1EB-456A-BEBE-EF697796FB60}"/>
                    </c:ext>
                  </c:extLst>
                </c:dPt>
                <c:dPt>
                  <c:idx val="29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59-E1EB-456A-BEBE-EF697796FB60}"/>
                    </c:ext>
                  </c:extLst>
                </c:dPt>
                <c:dPt>
                  <c:idx val="30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5B-E1EB-456A-BEBE-EF697796FB60}"/>
                    </c:ext>
                  </c:extLst>
                </c:dPt>
                <c:dPt>
                  <c:idx val="30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5D-E1EB-456A-BEBE-EF697796FB60}"/>
                    </c:ext>
                  </c:extLst>
                </c:dPt>
                <c:dPt>
                  <c:idx val="30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5F-E1EB-456A-BEBE-EF697796FB60}"/>
                    </c:ext>
                  </c:extLst>
                </c:dPt>
                <c:dPt>
                  <c:idx val="30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61-E1EB-456A-BEBE-EF697796FB60}"/>
                    </c:ext>
                  </c:extLst>
                </c:dPt>
                <c:dPt>
                  <c:idx val="30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63-E1EB-456A-BEBE-EF697796FB60}"/>
                    </c:ext>
                  </c:extLst>
                </c:dPt>
                <c:dPt>
                  <c:idx val="30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65-E1EB-456A-BEBE-EF697796FB60}"/>
                    </c:ext>
                  </c:extLst>
                </c:dPt>
                <c:dPt>
                  <c:idx val="30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67-E1EB-456A-BEBE-EF697796FB60}"/>
                    </c:ext>
                  </c:extLst>
                </c:dPt>
                <c:dPt>
                  <c:idx val="30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69-E1EB-456A-BEBE-EF697796FB60}"/>
                    </c:ext>
                  </c:extLst>
                </c:dPt>
                <c:dPt>
                  <c:idx val="30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6B-E1EB-456A-BEBE-EF697796FB60}"/>
                    </c:ext>
                  </c:extLst>
                </c:dPt>
                <c:dPt>
                  <c:idx val="30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6D-E1EB-456A-BEBE-EF697796FB60}"/>
                    </c:ext>
                  </c:extLst>
                </c:dPt>
                <c:dPt>
                  <c:idx val="31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6F-E1EB-456A-BEBE-EF697796FB60}"/>
                    </c:ext>
                  </c:extLst>
                </c:dPt>
                <c:dPt>
                  <c:idx val="31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71-E1EB-456A-BEBE-EF697796FB60}"/>
                    </c:ext>
                  </c:extLst>
                </c:dPt>
                <c:dPt>
                  <c:idx val="31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73-E1EB-456A-BEBE-EF697796FB60}"/>
                    </c:ext>
                  </c:extLst>
                </c:dPt>
                <c:dPt>
                  <c:idx val="31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75-E1EB-456A-BEBE-EF697796FB60}"/>
                    </c:ext>
                  </c:extLst>
                </c:dPt>
                <c:dPt>
                  <c:idx val="31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77-E1EB-456A-BEBE-EF697796FB60}"/>
                    </c:ext>
                  </c:extLst>
                </c:dPt>
                <c:dPt>
                  <c:idx val="31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79-E1EB-456A-BEBE-EF697796FB60}"/>
                    </c:ext>
                  </c:extLst>
                </c:dPt>
                <c:dPt>
                  <c:idx val="31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7B-E1EB-456A-BEBE-EF697796FB60}"/>
                    </c:ext>
                  </c:extLst>
                </c:dPt>
                <c:dPt>
                  <c:idx val="31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7D-E1EB-456A-BEBE-EF697796FB60}"/>
                    </c:ext>
                  </c:extLst>
                </c:dPt>
                <c:dPt>
                  <c:idx val="31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7F-E1EB-456A-BEBE-EF697796FB60}"/>
                    </c:ext>
                  </c:extLst>
                </c:dPt>
                <c:dPt>
                  <c:idx val="31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81-E1EB-456A-BEBE-EF697796FB60}"/>
                    </c:ext>
                  </c:extLst>
                </c:dPt>
                <c:dPt>
                  <c:idx val="32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83-E1EB-456A-BEBE-EF697796FB60}"/>
                    </c:ext>
                  </c:extLst>
                </c:dPt>
                <c:dPt>
                  <c:idx val="32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85-E1EB-456A-BEBE-EF697796FB60}"/>
                    </c:ext>
                  </c:extLst>
                </c:dPt>
                <c:dPt>
                  <c:idx val="32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87-E1EB-456A-BEBE-EF697796FB60}"/>
                    </c:ext>
                  </c:extLst>
                </c:dPt>
                <c:dPt>
                  <c:idx val="32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89-E1EB-456A-BEBE-EF697796FB60}"/>
                    </c:ext>
                  </c:extLst>
                </c:dPt>
                <c:dPt>
                  <c:idx val="32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8B-E1EB-456A-BEBE-EF697796FB60}"/>
                    </c:ext>
                  </c:extLst>
                </c:dPt>
                <c:dPt>
                  <c:idx val="32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8D-E1EB-456A-BEBE-EF697796FB60}"/>
                    </c:ext>
                  </c:extLst>
                </c:dPt>
                <c:dPt>
                  <c:idx val="32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8F-E1EB-456A-BEBE-EF697796FB60}"/>
                    </c:ext>
                  </c:extLst>
                </c:dPt>
                <c:dPt>
                  <c:idx val="32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91-E1EB-456A-BEBE-EF697796FB60}"/>
                    </c:ext>
                  </c:extLst>
                </c:dPt>
                <c:dPt>
                  <c:idx val="32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93-E1EB-456A-BEBE-EF697796FB60}"/>
                    </c:ext>
                  </c:extLst>
                </c:dPt>
                <c:dPt>
                  <c:idx val="32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95-E1EB-456A-BEBE-EF697796FB60}"/>
                    </c:ext>
                  </c:extLst>
                </c:dPt>
                <c:dPt>
                  <c:idx val="33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97-E1EB-456A-BEBE-EF697796FB60}"/>
                    </c:ext>
                  </c:extLst>
                </c:dPt>
                <c:dPt>
                  <c:idx val="33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99-E1EB-456A-BEBE-EF697796FB60}"/>
                    </c:ext>
                  </c:extLst>
                </c:dPt>
                <c:dPt>
                  <c:idx val="33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9B-E1EB-456A-BEBE-EF697796FB60}"/>
                    </c:ext>
                  </c:extLst>
                </c:dPt>
                <c:dPt>
                  <c:idx val="33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9D-E1EB-456A-BEBE-EF697796FB60}"/>
                    </c:ext>
                  </c:extLst>
                </c:dPt>
                <c:dPt>
                  <c:idx val="33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9F-E1EB-456A-BEBE-EF697796FB60}"/>
                    </c:ext>
                  </c:extLst>
                </c:dPt>
                <c:dPt>
                  <c:idx val="33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A1-E1EB-456A-BEBE-EF697796FB60}"/>
                    </c:ext>
                  </c:extLst>
                </c:dPt>
                <c:dPt>
                  <c:idx val="33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A3-E1EB-456A-BEBE-EF697796FB60}"/>
                    </c:ext>
                  </c:extLst>
                </c:dPt>
                <c:dPt>
                  <c:idx val="33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A5-E1EB-456A-BEBE-EF697796FB60}"/>
                    </c:ext>
                  </c:extLst>
                </c:dPt>
                <c:dPt>
                  <c:idx val="33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A7-E1EB-456A-BEBE-EF697796FB60}"/>
                    </c:ext>
                  </c:extLst>
                </c:dPt>
                <c:dPt>
                  <c:idx val="33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A9-E1EB-456A-BEBE-EF697796FB60}"/>
                    </c:ext>
                  </c:extLst>
                </c:dPt>
                <c:dPt>
                  <c:idx val="34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AB-E1EB-456A-BEBE-EF697796FB60}"/>
                    </c:ext>
                  </c:extLst>
                </c:dPt>
                <c:dPt>
                  <c:idx val="34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AD-E1EB-456A-BEBE-EF697796FB60}"/>
                    </c:ext>
                  </c:extLst>
                </c:dPt>
                <c:dPt>
                  <c:idx val="34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AF-E1EB-456A-BEBE-EF697796FB60}"/>
                    </c:ext>
                  </c:extLst>
                </c:dPt>
                <c:dPt>
                  <c:idx val="34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B1-E1EB-456A-BEBE-EF697796FB60}"/>
                    </c:ext>
                  </c:extLst>
                </c:dPt>
                <c:dPt>
                  <c:idx val="34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B3-E1EB-456A-BEBE-EF697796FB60}"/>
                    </c:ext>
                  </c:extLst>
                </c:dPt>
                <c:dPt>
                  <c:idx val="34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B5-E1EB-456A-BEBE-EF697796FB60}"/>
                    </c:ext>
                  </c:extLst>
                </c:dPt>
                <c:dPt>
                  <c:idx val="34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B7-E1EB-456A-BEBE-EF697796FB60}"/>
                    </c:ext>
                  </c:extLst>
                </c:dPt>
                <c:dPt>
                  <c:idx val="34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B9-E1EB-456A-BEBE-EF697796FB60}"/>
                    </c:ext>
                  </c:extLst>
                </c:dPt>
                <c:dPt>
                  <c:idx val="34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BB-E1EB-456A-BEBE-EF697796FB60}"/>
                    </c:ext>
                  </c:extLst>
                </c:dPt>
                <c:dPt>
                  <c:idx val="34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BD-E1EB-456A-BEBE-EF697796FB60}"/>
                    </c:ext>
                  </c:extLst>
                </c:dPt>
                <c:dPt>
                  <c:idx val="35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BF-E1EB-456A-BEBE-EF697796FB60}"/>
                    </c:ext>
                  </c:extLst>
                </c:dPt>
                <c:dPt>
                  <c:idx val="35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C1-E1EB-456A-BEBE-EF697796FB60}"/>
                    </c:ext>
                  </c:extLst>
                </c:dPt>
                <c:dPt>
                  <c:idx val="35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C3-E1EB-456A-BEBE-EF697796FB60}"/>
                    </c:ext>
                  </c:extLst>
                </c:dPt>
                <c:dPt>
                  <c:idx val="35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C5-E1EB-456A-BEBE-EF697796FB60}"/>
                    </c:ext>
                  </c:extLst>
                </c:dPt>
                <c:dPt>
                  <c:idx val="35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C7-E1EB-456A-BEBE-EF697796FB60}"/>
                    </c:ext>
                  </c:extLst>
                </c:dPt>
                <c:dPt>
                  <c:idx val="35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C9-E1EB-456A-BEBE-EF697796FB60}"/>
                    </c:ext>
                  </c:extLst>
                </c:dPt>
                <c:dPt>
                  <c:idx val="35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CB-E1EB-456A-BEBE-EF697796FB60}"/>
                    </c:ext>
                  </c:extLst>
                </c:dPt>
                <c:dPt>
                  <c:idx val="35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CD-E1EB-456A-BEBE-EF697796FB60}"/>
                    </c:ext>
                  </c:extLst>
                </c:dPt>
                <c:dPt>
                  <c:idx val="35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CF-E1EB-456A-BEBE-EF697796FB60}"/>
                    </c:ext>
                  </c:extLst>
                </c:dPt>
                <c:dPt>
                  <c:idx val="35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D1-E1EB-456A-BEBE-EF697796FB60}"/>
                    </c:ext>
                  </c:extLst>
                </c:dPt>
                <c:dPt>
                  <c:idx val="36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D3-E1EB-456A-BEBE-EF697796FB60}"/>
                    </c:ext>
                  </c:extLst>
                </c:dPt>
                <c:dPt>
                  <c:idx val="36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D5-E1EB-456A-BEBE-EF697796FB60}"/>
                    </c:ext>
                  </c:extLst>
                </c:dPt>
                <c:dPt>
                  <c:idx val="36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D7-E1EB-456A-BEBE-EF697796FB60}"/>
                    </c:ext>
                  </c:extLst>
                </c:dPt>
                <c:dPt>
                  <c:idx val="36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D9-E1EB-456A-BEBE-EF697796FB60}"/>
                    </c:ext>
                  </c:extLst>
                </c:dPt>
                <c:dPt>
                  <c:idx val="36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DB-E1EB-456A-BEBE-EF697796FB60}"/>
                    </c:ext>
                  </c:extLst>
                </c:dPt>
                <c:dPt>
                  <c:idx val="36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DD-E1EB-456A-BEBE-EF697796FB60}"/>
                    </c:ext>
                  </c:extLst>
                </c:dPt>
                <c:dPt>
                  <c:idx val="36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DF-E1EB-456A-BEBE-EF697796FB60}"/>
                    </c:ext>
                  </c:extLst>
                </c:dPt>
                <c:dPt>
                  <c:idx val="36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E1-E1EB-456A-BEBE-EF697796FB60}"/>
                    </c:ext>
                  </c:extLst>
                </c:dPt>
                <c:dPt>
                  <c:idx val="36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E3-E1EB-456A-BEBE-EF697796FB60}"/>
                    </c:ext>
                  </c:extLst>
                </c:dPt>
                <c:dPt>
                  <c:idx val="36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E5-E1EB-456A-BEBE-EF697796FB60}"/>
                    </c:ext>
                  </c:extLst>
                </c:dPt>
                <c:dPt>
                  <c:idx val="37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E7-E1EB-456A-BEBE-EF697796FB60}"/>
                    </c:ext>
                  </c:extLst>
                </c:dPt>
                <c:dPt>
                  <c:idx val="37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E9-E1EB-456A-BEBE-EF697796FB60}"/>
                    </c:ext>
                  </c:extLst>
                </c:dPt>
                <c:dPt>
                  <c:idx val="37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EB-E1EB-456A-BEBE-EF697796FB60}"/>
                    </c:ext>
                  </c:extLst>
                </c:dPt>
                <c:dPt>
                  <c:idx val="37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ED-E1EB-456A-BEBE-EF697796FB60}"/>
                    </c:ext>
                  </c:extLst>
                </c:dPt>
                <c:dPt>
                  <c:idx val="37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EF-E1EB-456A-BEBE-EF697796FB60}"/>
                    </c:ext>
                  </c:extLst>
                </c:dPt>
                <c:dPt>
                  <c:idx val="37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F1-E1EB-456A-BEBE-EF697796FB60}"/>
                    </c:ext>
                  </c:extLst>
                </c:dPt>
                <c:dPt>
                  <c:idx val="37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F3-E1EB-456A-BEBE-EF697796FB60}"/>
                    </c:ext>
                  </c:extLst>
                </c:dPt>
                <c:dPt>
                  <c:idx val="37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F5-E1EB-456A-BEBE-EF697796FB60}"/>
                    </c:ext>
                  </c:extLst>
                </c:dPt>
                <c:dPt>
                  <c:idx val="37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F7-E1EB-456A-BEBE-EF697796FB60}"/>
                    </c:ext>
                  </c:extLst>
                </c:dPt>
                <c:dPt>
                  <c:idx val="37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F9-E1EB-456A-BEBE-EF697796FB60}"/>
                    </c:ext>
                  </c:extLst>
                </c:dPt>
                <c:dPt>
                  <c:idx val="38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FB-E1EB-456A-BEBE-EF697796FB60}"/>
                    </c:ext>
                  </c:extLst>
                </c:dPt>
                <c:dPt>
                  <c:idx val="38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FD-E1EB-456A-BEBE-EF697796FB60}"/>
                    </c:ext>
                  </c:extLst>
                </c:dPt>
                <c:dPt>
                  <c:idx val="38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FF-E1EB-456A-BEBE-EF697796FB60}"/>
                    </c:ext>
                  </c:extLst>
                </c:dPt>
                <c:dPt>
                  <c:idx val="38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01-E1EB-456A-BEBE-EF697796FB60}"/>
                    </c:ext>
                  </c:extLst>
                </c:dPt>
                <c:dPt>
                  <c:idx val="38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03-E1EB-456A-BEBE-EF697796FB60}"/>
                    </c:ext>
                  </c:extLst>
                </c:dPt>
                <c:dPt>
                  <c:idx val="38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05-E1EB-456A-BEBE-EF697796FB60}"/>
                    </c:ext>
                  </c:extLst>
                </c:dPt>
                <c:dPt>
                  <c:idx val="38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07-E1EB-456A-BEBE-EF697796FB60}"/>
                    </c:ext>
                  </c:extLst>
                </c:dPt>
                <c:dPt>
                  <c:idx val="38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09-E1EB-456A-BEBE-EF697796FB60}"/>
                    </c:ext>
                  </c:extLst>
                </c:dPt>
                <c:dPt>
                  <c:idx val="38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0B-E1EB-456A-BEBE-EF697796FB60}"/>
                    </c:ext>
                  </c:extLst>
                </c:dPt>
                <c:dPt>
                  <c:idx val="38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0D-E1EB-456A-BEBE-EF697796FB60}"/>
                    </c:ext>
                  </c:extLst>
                </c:dPt>
                <c:dPt>
                  <c:idx val="39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0F-E1EB-456A-BEBE-EF697796FB60}"/>
                    </c:ext>
                  </c:extLst>
                </c:dPt>
                <c:dPt>
                  <c:idx val="39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11-E1EB-456A-BEBE-EF697796FB60}"/>
                    </c:ext>
                  </c:extLst>
                </c:dPt>
                <c:dPt>
                  <c:idx val="39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13-E1EB-456A-BEBE-EF697796FB60}"/>
                    </c:ext>
                  </c:extLst>
                </c:dPt>
                <c:dPt>
                  <c:idx val="39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15-E1EB-456A-BEBE-EF697796FB60}"/>
                    </c:ext>
                  </c:extLst>
                </c:dPt>
                <c:dPt>
                  <c:idx val="39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17-E1EB-456A-BEBE-EF697796FB60}"/>
                    </c:ext>
                  </c:extLst>
                </c:dPt>
                <c:dPt>
                  <c:idx val="39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19-E1EB-456A-BEBE-EF697796FB60}"/>
                    </c:ext>
                  </c:extLst>
                </c:dPt>
                <c:dPt>
                  <c:idx val="39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1B-E1EB-456A-BEBE-EF697796FB60}"/>
                    </c:ext>
                  </c:extLst>
                </c:dPt>
                <c:dPt>
                  <c:idx val="39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1D-E1EB-456A-BEBE-EF697796FB60}"/>
                    </c:ext>
                  </c:extLst>
                </c:dPt>
                <c:dPt>
                  <c:idx val="39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1F-E1EB-456A-BEBE-EF697796FB60}"/>
                    </c:ext>
                  </c:extLst>
                </c:dPt>
                <c:dPt>
                  <c:idx val="39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21-E1EB-456A-BEBE-EF697796FB60}"/>
                    </c:ext>
                  </c:extLst>
                </c:dPt>
                <c:dPt>
                  <c:idx val="40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23-E1EB-456A-BEBE-EF697796FB60}"/>
                    </c:ext>
                  </c:extLst>
                </c:dPt>
                <c:dPt>
                  <c:idx val="40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25-E1EB-456A-BEBE-EF697796FB60}"/>
                    </c:ext>
                  </c:extLst>
                </c:dPt>
                <c:dPt>
                  <c:idx val="40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27-E1EB-456A-BEBE-EF697796FB60}"/>
                    </c:ext>
                  </c:extLst>
                </c:dPt>
                <c:dPt>
                  <c:idx val="40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29-E1EB-456A-BEBE-EF697796FB60}"/>
                    </c:ext>
                  </c:extLst>
                </c:dPt>
                <c:dPt>
                  <c:idx val="40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2B-E1EB-456A-BEBE-EF697796FB60}"/>
                    </c:ext>
                  </c:extLst>
                </c:dPt>
                <c:dPt>
                  <c:idx val="40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2D-E1EB-456A-BEBE-EF697796FB60}"/>
                    </c:ext>
                  </c:extLst>
                </c:dPt>
                <c:dPt>
                  <c:idx val="40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2F-E1EB-456A-BEBE-EF697796FB60}"/>
                    </c:ext>
                  </c:extLst>
                </c:dPt>
                <c:dPt>
                  <c:idx val="40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31-E1EB-456A-BEBE-EF697796FB60}"/>
                    </c:ext>
                  </c:extLst>
                </c:dPt>
                <c:dPt>
                  <c:idx val="40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33-E1EB-456A-BEBE-EF697796FB60}"/>
                    </c:ext>
                  </c:extLst>
                </c:dPt>
                <c:dPt>
                  <c:idx val="40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35-E1EB-456A-BEBE-EF697796FB60}"/>
                    </c:ext>
                  </c:extLst>
                </c:dPt>
                <c:dPt>
                  <c:idx val="41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37-E1EB-456A-BEBE-EF697796FB60}"/>
                    </c:ext>
                  </c:extLst>
                </c:dPt>
                <c:dPt>
                  <c:idx val="41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39-E1EB-456A-BEBE-EF697796FB60}"/>
                    </c:ext>
                  </c:extLst>
                </c:dPt>
                <c:dPt>
                  <c:idx val="41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3B-E1EB-456A-BEBE-EF697796FB60}"/>
                    </c:ext>
                  </c:extLst>
                </c:dPt>
                <c:dPt>
                  <c:idx val="41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3D-E1EB-456A-BEBE-EF697796FB60}"/>
                    </c:ext>
                  </c:extLst>
                </c:dPt>
                <c:dPt>
                  <c:idx val="41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3F-E1EB-456A-BEBE-EF697796FB60}"/>
                    </c:ext>
                  </c:extLst>
                </c:dPt>
                <c:dPt>
                  <c:idx val="41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41-E1EB-456A-BEBE-EF697796FB60}"/>
                    </c:ext>
                  </c:extLst>
                </c:dPt>
                <c:dPt>
                  <c:idx val="41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43-E1EB-456A-BEBE-EF697796FB60}"/>
                    </c:ext>
                  </c:extLst>
                </c:dPt>
                <c:dPt>
                  <c:idx val="41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45-E1EB-456A-BEBE-EF697796FB60}"/>
                    </c:ext>
                  </c:extLst>
                </c:dPt>
                <c:dPt>
                  <c:idx val="41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47-E1EB-456A-BEBE-EF697796FB60}"/>
                    </c:ext>
                  </c:extLst>
                </c:dPt>
                <c:dPt>
                  <c:idx val="41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49-E1EB-456A-BEBE-EF697796FB60}"/>
                    </c:ext>
                  </c:extLst>
                </c:dPt>
                <c:dPt>
                  <c:idx val="42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4B-E1EB-456A-BEBE-EF697796FB60}"/>
                    </c:ext>
                  </c:extLst>
                </c:dPt>
                <c:dPt>
                  <c:idx val="42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4D-E1EB-456A-BEBE-EF697796FB60}"/>
                    </c:ext>
                  </c:extLst>
                </c:dPt>
                <c:dPt>
                  <c:idx val="42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4F-E1EB-456A-BEBE-EF697796FB60}"/>
                    </c:ext>
                  </c:extLst>
                </c:dPt>
                <c:dPt>
                  <c:idx val="42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51-E1EB-456A-BEBE-EF697796FB60}"/>
                    </c:ext>
                  </c:extLst>
                </c:dPt>
                <c:dPt>
                  <c:idx val="42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53-E1EB-456A-BEBE-EF697796FB60}"/>
                    </c:ext>
                  </c:extLst>
                </c:dPt>
                <c:dPt>
                  <c:idx val="42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55-E1EB-456A-BEBE-EF697796FB60}"/>
                    </c:ext>
                  </c:extLst>
                </c:dPt>
                <c:dPt>
                  <c:idx val="42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57-E1EB-456A-BEBE-EF697796FB60}"/>
                    </c:ext>
                  </c:extLst>
                </c:dPt>
                <c:dPt>
                  <c:idx val="42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59-E1EB-456A-BEBE-EF697796FB60}"/>
                    </c:ext>
                  </c:extLst>
                </c:dPt>
                <c:dPt>
                  <c:idx val="42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5B-E1EB-456A-BEBE-EF697796FB60}"/>
                    </c:ext>
                  </c:extLst>
                </c:dPt>
                <c:dPt>
                  <c:idx val="42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5D-E1EB-456A-BEBE-EF697796FB60}"/>
                    </c:ext>
                  </c:extLst>
                </c:dPt>
                <c:dPt>
                  <c:idx val="43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5F-E1EB-456A-BEBE-EF697796FB60}"/>
                    </c:ext>
                  </c:extLst>
                </c:dPt>
                <c:dPt>
                  <c:idx val="43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61-E1EB-456A-BEBE-EF697796FB60}"/>
                    </c:ext>
                  </c:extLst>
                </c:dPt>
                <c:dPt>
                  <c:idx val="43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63-E1EB-456A-BEBE-EF697796FB60}"/>
                    </c:ext>
                  </c:extLst>
                </c:dPt>
                <c:dPt>
                  <c:idx val="43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65-E1EB-456A-BEBE-EF697796FB60}"/>
                    </c:ext>
                  </c:extLst>
                </c:dPt>
                <c:dPt>
                  <c:idx val="43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67-E1EB-456A-BEBE-EF697796FB60}"/>
                    </c:ext>
                  </c:extLst>
                </c:dPt>
                <c:dPt>
                  <c:idx val="43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69-E1EB-456A-BEBE-EF697796FB60}"/>
                    </c:ext>
                  </c:extLst>
                </c:dPt>
                <c:dPt>
                  <c:idx val="43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6B-E1EB-456A-BEBE-EF697796FB60}"/>
                    </c:ext>
                  </c:extLst>
                </c:dPt>
                <c:dPt>
                  <c:idx val="43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6D-E1EB-456A-BEBE-EF697796FB60}"/>
                    </c:ext>
                  </c:extLst>
                </c:dPt>
                <c:dPt>
                  <c:idx val="43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6F-E1EB-456A-BEBE-EF697796FB60}"/>
                    </c:ext>
                  </c:extLst>
                </c:dPt>
                <c:dPt>
                  <c:idx val="43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71-E1EB-456A-BEBE-EF697796FB60}"/>
                    </c:ext>
                  </c:extLst>
                </c:dPt>
                <c:dPt>
                  <c:idx val="44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73-E1EB-456A-BEBE-EF697796FB60}"/>
                    </c:ext>
                  </c:extLst>
                </c:dPt>
                <c:dPt>
                  <c:idx val="44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75-E1EB-456A-BEBE-EF697796FB60}"/>
                    </c:ext>
                  </c:extLst>
                </c:dPt>
                <c:dPt>
                  <c:idx val="44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77-E1EB-456A-BEBE-EF697796FB60}"/>
                    </c:ext>
                  </c:extLst>
                </c:dPt>
                <c:dPt>
                  <c:idx val="44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79-E1EB-456A-BEBE-EF697796FB60}"/>
                    </c:ext>
                  </c:extLst>
                </c:dPt>
                <c:dPt>
                  <c:idx val="44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7B-E1EB-456A-BEBE-EF697796FB60}"/>
                    </c:ext>
                  </c:extLst>
                </c:dPt>
                <c:dPt>
                  <c:idx val="44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7D-E1EB-456A-BEBE-EF697796FB60}"/>
                    </c:ext>
                  </c:extLst>
                </c:dPt>
                <c:dPt>
                  <c:idx val="44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7F-E1EB-456A-BEBE-EF697796FB60}"/>
                    </c:ext>
                  </c:extLst>
                </c:dPt>
                <c:dPt>
                  <c:idx val="44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81-E1EB-456A-BEBE-EF697796FB60}"/>
                    </c:ext>
                  </c:extLst>
                </c:dPt>
                <c:dPt>
                  <c:idx val="44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83-E1EB-456A-BEBE-EF697796FB60}"/>
                    </c:ext>
                  </c:extLst>
                </c:dPt>
                <c:dPt>
                  <c:idx val="44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85-E1EB-456A-BEBE-EF697796FB60}"/>
                    </c:ext>
                  </c:extLst>
                </c:dPt>
                <c:dPt>
                  <c:idx val="45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87-E1EB-456A-BEBE-EF697796FB60}"/>
                    </c:ext>
                  </c:extLst>
                </c:dPt>
                <c:dPt>
                  <c:idx val="45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89-E1EB-456A-BEBE-EF697796FB60}"/>
                    </c:ext>
                  </c:extLst>
                </c:dPt>
                <c:dPt>
                  <c:idx val="45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8B-E1EB-456A-BEBE-EF697796FB60}"/>
                    </c:ext>
                  </c:extLst>
                </c:dPt>
                <c:dPt>
                  <c:idx val="45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8D-E1EB-456A-BEBE-EF697796FB60}"/>
                    </c:ext>
                  </c:extLst>
                </c:dPt>
                <c:dPt>
                  <c:idx val="45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8F-E1EB-456A-BEBE-EF697796FB60}"/>
                    </c:ext>
                  </c:extLst>
                </c:dPt>
                <c:dPt>
                  <c:idx val="45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91-E1EB-456A-BEBE-EF697796FB60}"/>
                    </c:ext>
                  </c:extLst>
                </c:dPt>
                <c:dPt>
                  <c:idx val="45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93-E1EB-456A-BEBE-EF697796FB60}"/>
                    </c:ext>
                  </c:extLst>
                </c:dPt>
                <c:dPt>
                  <c:idx val="45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95-E1EB-456A-BEBE-EF697796FB60}"/>
                    </c:ext>
                  </c:extLst>
                </c:dPt>
                <c:dPt>
                  <c:idx val="45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97-E1EB-456A-BEBE-EF697796FB60}"/>
                    </c:ext>
                  </c:extLst>
                </c:dPt>
                <c:dPt>
                  <c:idx val="45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99-E1EB-456A-BEBE-EF697796FB60}"/>
                    </c:ext>
                  </c:extLst>
                </c:dPt>
                <c:dPt>
                  <c:idx val="46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9B-E1EB-456A-BEBE-EF697796FB60}"/>
                    </c:ext>
                  </c:extLst>
                </c:dPt>
                <c:dPt>
                  <c:idx val="46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9D-E1EB-456A-BEBE-EF697796FB60}"/>
                    </c:ext>
                  </c:extLst>
                </c:dPt>
                <c:dPt>
                  <c:idx val="46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9F-E1EB-456A-BEBE-EF697796FB60}"/>
                    </c:ext>
                  </c:extLst>
                </c:dPt>
                <c:dPt>
                  <c:idx val="46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A1-E1EB-456A-BEBE-EF697796FB60}"/>
                    </c:ext>
                  </c:extLst>
                </c:dPt>
                <c:dPt>
                  <c:idx val="46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A3-E1EB-456A-BEBE-EF697796FB60}"/>
                    </c:ext>
                  </c:extLst>
                </c:dPt>
                <c:dPt>
                  <c:idx val="46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A5-E1EB-456A-BEBE-EF697796FB60}"/>
                    </c:ext>
                  </c:extLst>
                </c:dPt>
                <c:dPt>
                  <c:idx val="46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A7-E1EB-456A-BEBE-EF697796FB60}"/>
                    </c:ext>
                  </c:extLst>
                </c:dPt>
                <c:dPt>
                  <c:idx val="46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A9-E1EB-456A-BEBE-EF697796FB60}"/>
                    </c:ext>
                  </c:extLst>
                </c:dPt>
                <c:dPt>
                  <c:idx val="46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AB-E1EB-456A-BEBE-EF697796FB60}"/>
                    </c:ext>
                  </c:extLst>
                </c:dPt>
                <c:dPt>
                  <c:idx val="46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AD-E1EB-456A-BEBE-EF697796FB60}"/>
                    </c:ext>
                  </c:extLst>
                </c:dPt>
                <c:dPt>
                  <c:idx val="47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AF-E1EB-456A-BEBE-EF697796FB60}"/>
                    </c:ext>
                  </c:extLst>
                </c:dPt>
                <c:dPt>
                  <c:idx val="47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B1-E1EB-456A-BEBE-EF697796FB60}"/>
                    </c:ext>
                  </c:extLst>
                </c:dPt>
                <c:dPt>
                  <c:idx val="47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B3-E1EB-456A-BEBE-EF697796FB60}"/>
                    </c:ext>
                  </c:extLst>
                </c:dPt>
                <c:dPt>
                  <c:idx val="47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B5-E1EB-456A-BEBE-EF697796FB60}"/>
                    </c:ext>
                  </c:extLst>
                </c:dPt>
                <c:dPt>
                  <c:idx val="47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B7-E1EB-456A-BEBE-EF697796FB60}"/>
                    </c:ext>
                  </c:extLst>
                </c:dPt>
                <c:dPt>
                  <c:idx val="47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B9-E1EB-456A-BEBE-EF697796FB60}"/>
                    </c:ext>
                  </c:extLst>
                </c:dPt>
                <c:dPt>
                  <c:idx val="47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BB-E1EB-456A-BEBE-EF697796FB60}"/>
                    </c:ext>
                  </c:extLst>
                </c:dPt>
                <c:dPt>
                  <c:idx val="47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BD-E1EB-456A-BEBE-EF697796FB60}"/>
                    </c:ext>
                  </c:extLst>
                </c:dPt>
                <c:dPt>
                  <c:idx val="47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BF-E1EB-456A-BEBE-EF697796FB60}"/>
                    </c:ext>
                  </c:extLst>
                </c:dPt>
                <c:dPt>
                  <c:idx val="47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C1-E1EB-456A-BEBE-EF697796FB60}"/>
                    </c:ext>
                  </c:extLst>
                </c:dPt>
                <c:dPt>
                  <c:idx val="48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C3-E1EB-456A-BEBE-EF697796FB60}"/>
                    </c:ext>
                  </c:extLst>
                </c:dPt>
                <c:dPt>
                  <c:idx val="48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C5-E1EB-456A-BEBE-EF697796FB60}"/>
                    </c:ext>
                  </c:extLst>
                </c:dPt>
                <c:dPt>
                  <c:idx val="48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C7-E1EB-456A-BEBE-EF697796FB60}"/>
                    </c:ext>
                  </c:extLst>
                </c:dPt>
                <c:dPt>
                  <c:idx val="48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C9-E1EB-456A-BEBE-EF697796FB60}"/>
                    </c:ext>
                  </c:extLst>
                </c:dPt>
                <c:dPt>
                  <c:idx val="48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CB-E1EB-456A-BEBE-EF697796FB60}"/>
                    </c:ext>
                  </c:extLst>
                </c:dPt>
                <c:dPt>
                  <c:idx val="48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CD-E1EB-456A-BEBE-EF697796FB60}"/>
                    </c:ext>
                  </c:extLst>
                </c:dPt>
                <c:dPt>
                  <c:idx val="48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CF-E1EB-456A-BEBE-EF697796FB60}"/>
                    </c:ext>
                  </c:extLst>
                </c:dPt>
                <c:dPt>
                  <c:idx val="48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D1-E1EB-456A-BEBE-EF697796FB60}"/>
                    </c:ext>
                  </c:extLst>
                </c:dPt>
                <c:dPt>
                  <c:idx val="48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D3-E1EB-456A-BEBE-EF697796FB60}"/>
                    </c:ext>
                  </c:extLst>
                </c:dPt>
                <c:dPt>
                  <c:idx val="48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D5-E1EB-456A-BEBE-EF697796FB60}"/>
                    </c:ext>
                  </c:extLst>
                </c:dPt>
                <c:dPt>
                  <c:idx val="49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D7-E1EB-456A-BEBE-EF697796FB60}"/>
                    </c:ext>
                  </c:extLst>
                </c:dPt>
                <c:dPt>
                  <c:idx val="49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D9-E1EB-456A-BEBE-EF697796FB60}"/>
                    </c:ext>
                  </c:extLst>
                </c:dPt>
                <c:dPt>
                  <c:idx val="49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DB-E1EB-456A-BEBE-EF697796FB60}"/>
                    </c:ext>
                  </c:extLst>
                </c:dPt>
                <c:dPt>
                  <c:idx val="49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DD-E1EB-456A-BEBE-EF697796FB60}"/>
                    </c:ext>
                  </c:extLst>
                </c:dPt>
                <c:dPt>
                  <c:idx val="49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DF-E1EB-456A-BEBE-EF697796FB60}"/>
                    </c:ext>
                  </c:extLst>
                </c:dPt>
                <c:dPt>
                  <c:idx val="49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E1-E1EB-456A-BEBE-EF697796FB60}"/>
                    </c:ext>
                  </c:extLst>
                </c:dPt>
                <c:dPt>
                  <c:idx val="49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E3-E1EB-456A-BEBE-EF697796FB60}"/>
                    </c:ext>
                  </c:extLst>
                </c:dPt>
                <c:dPt>
                  <c:idx val="49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E5-E1EB-456A-BEBE-EF697796FB60}"/>
                    </c:ext>
                  </c:extLst>
                </c:dPt>
                <c:dPt>
                  <c:idx val="49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E7-E1EB-456A-BEBE-EF697796FB60}"/>
                    </c:ext>
                  </c:extLst>
                </c:dPt>
                <c:dPt>
                  <c:idx val="49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E9-E1EB-456A-BEBE-EF697796FB60}"/>
                    </c:ext>
                  </c:extLst>
                </c:dPt>
                <c:dPt>
                  <c:idx val="50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EB-E1EB-456A-BEBE-EF697796FB60}"/>
                    </c:ext>
                  </c:extLst>
                </c:dPt>
                <c:dPt>
                  <c:idx val="50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ED-E1EB-456A-BEBE-EF697796FB60}"/>
                    </c:ext>
                  </c:extLst>
                </c:dPt>
                <c:dPt>
                  <c:idx val="50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EF-E1EB-456A-BEBE-EF697796FB60}"/>
                    </c:ext>
                  </c:extLst>
                </c:dPt>
                <c:dPt>
                  <c:idx val="50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F1-E1EB-456A-BEBE-EF697796FB60}"/>
                    </c:ext>
                  </c:extLst>
                </c:dPt>
                <c:dPt>
                  <c:idx val="50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F3-E1EB-456A-BEBE-EF697796FB60}"/>
                    </c:ext>
                  </c:extLst>
                </c:dPt>
                <c:dPt>
                  <c:idx val="50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F5-E1EB-456A-BEBE-EF697796FB60}"/>
                    </c:ext>
                  </c:extLst>
                </c:dPt>
                <c:dPt>
                  <c:idx val="50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F7-E1EB-456A-BEBE-EF697796FB60}"/>
                    </c:ext>
                  </c:extLst>
                </c:dPt>
                <c:dPt>
                  <c:idx val="50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F9-E1EB-456A-BEBE-EF697796FB60}"/>
                    </c:ext>
                  </c:extLst>
                </c:dPt>
                <c:dPt>
                  <c:idx val="50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FB-E1EB-456A-BEBE-EF697796FB60}"/>
                    </c:ext>
                  </c:extLst>
                </c:dPt>
                <c:dPt>
                  <c:idx val="50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FD-E1EB-456A-BEBE-EF697796FB60}"/>
                    </c:ext>
                  </c:extLst>
                </c:dPt>
                <c:dPt>
                  <c:idx val="51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FF-E1EB-456A-BEBE-EF697796FB60}"/>
                    </c:ext>
                  </c:extLst>
                </c:dPt>
                <c:dPt>
                  <c:idx val="51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01-E1EB-456A-BEBE-EF697796FB60}"/>
                    </c:ext>
                  </c:extLst>
                </c:dPt>
                <c:dPt>
                  <c:idx val="51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03-E1EB-456A-BEBE-EF697796FB60}"/>
                    </c:ext>
                  </c:extLst>
                </c:dPt>
                <c:dPt>
                  <c:idx val="51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05-E1EB-456A-BEBE-EF697796FB60}"/>
                    </c:ext>
                  </c:extLst>
                </c:dPt>
                <c:dPt>
                  <c:idx val="51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07-E1EB-456A-BEBE-EF697796FB60}"/>
                    </c:ext>
                  </c:extLst>
                </c:dPt>
                <c:dPt>
                  <c:idx val="51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09-E1EB-456A-BEBE-EF697796FB60}"/>
                    </c:ext>
                  </c:extLst>
                </c:dPt>
                <c:dPt>
                  <c:idx val="51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0B-E1EB-456A-BEBE-EF697796FB60}"/>
                    </c:ext>
                  </c:extLst>
                </c:dPt>
                <c:dPt>
                  <c:idx val="51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0D-E1EB-456A-BEBE-EF697796FB60}"/>
                    </c:ext>
                  </c:extLst>
                </c:dPt>
                <c:dPt>
                  <c:idx val="51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0F-E1EB-456A-BEBE-EF697796FB60}"/>
                    </c:ext>
                  </c:extLst>
                </c:dPt>
                <c:dPt>
                  <c:idx val="51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11-E1EB-456A-BEBE-EF697796FB60}"/>
                    </c:ext>
                  </c:extLst>
                </c:dPt>
                <c:dPt>
                  <c:idx val="52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13-E1EB-456A-BEBE-EF697796FB60}"/>
                    </c:ext>
                  </c:extLst>
                </c:dPt>
                <c:dPt>
                  <c:idx val="52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15-E1EB-456A-BEBE-EF697796FB60}"/>
                    </c:ext>
                  </c:extLst>
                </c:dPt>
                <c:dPt>
                  <c:idx val="52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17-E1EB-456A-BEBE-EF697796FB60}"/>
                    </c:ext>
                  </c:extLst>
                </c:dPt>
                <c:dPt>
                  <c:idx val="52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19-E1EB-456A-BEBE-EF697796FB60}"/>
                    </c:ext>
                  </c:extLst>
                </c:dPt>
                <c:dPt>
                  <c:idx val="52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1B-E1EB-456A-BEBE-EF697796FB60}"/>
                    </c:ext>
                  </c:extLst>
                </c:dPt>
                <c:dPt>
                  <c:idx val="52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1D-E1EB-456A-BEBE-EF697796FB60}"/>
                    </c:ext>
                  </c:extLst>
                </c:dPt>
                <c:dPt>
                  <c:idx val="52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1F-E1EB-456A-BEBE-EF697796FB60}"/>
                    </c:ext>
                  </c:extLst>
                </c:dPt>
                <c:dPt>
                  <c:idx val="52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21-E1EB-456A-BEBE-EF697796FB60}"/>
                    </c:ext>
                  </c:extLst>
                </c:dPt>
                <c:dPt>
                  <c:idx val="52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23-E1EB-456A-BEBE-EF697796FB60}"/>
                    </c:ext>
                  </c:extLst>
                </c:dPt>
                <c:dPt>
                  <c:idx val="52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25-E1EB-456A-BEBE-EF697796FB60}"/>
                    </c:ext>
                  </c:extLst>
                </c:dPt>
                <c:dPt>
                  <c:idx val="53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27-E1EB-456A-BEBE-EF697796FB60}"/>
                    </c:ext>
                  </c:extLst>
                </c:dPt>
                <c:dPt>
                  <c:idx val="53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29-E1EB-456A-BEBE-EF697796FB60}"/>
                    </c:ext>
                  </c:extLst>
                </c:dPt>
                <c:dPt>
                  <c:idx val="53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2B-E1EB-456A-BEBE-EF697796FB60}"/>
                    </c:ext>
                  </c:extLst>
                </c:dPt>
                <c:dPt>
                  <c:idx val="53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2D-E1EB-456A-BEBE-EF697796FB60}"/>
                    </c:ext>
                  </c:extLst>
                </c:dPt>
                <c:dPt>
                  <c:idx val="53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2F-E1EB-456A-BEBE-EF697796FB60}"/>
                    </c:ext>
                  </c:extLst>
                </c:dPt>
                <c:dPt>
                  <c:idx val="53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31-E1EB-456A-BEBE-EF697796FB60}"/>
                    </c:ext>
                  </c:extLst>
                </c:dPt>
                <c:dPt>
                  <c:idx val="53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33-E1EB-456A-BEBE-EF697796FB60}"/>
                    </c:ext>
                  </c:extLst>
                </c:dPt>
                <c:dPt>
                  <c:idx val="53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35-E1EB-456A-BEBE-EF697796FB60}"/>
                    </c:ext>
                  </c:extLst>
                </c:dPt>
                <c:dPt>
                  <c:idx val="53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37-E1EB-456A-BEBE-EF697796FB60}"/>
                    </c:ext>
                  </c:extLst>
                </c:dPt>
                <c:dPt>
                  <c:idx val="53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39-E1EB-456A-BEBE-EF697796FB60}"/>
                    </c:ext>
                  </c:extLst>
                </c:dPt>
                <c:dPt>
                  <c:idx val="54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3B-E1EB-456A-BEBE-EF697796FB60}"/>
                    </c:ext>
                  </c:extLst>
                </c:dPt>
                <c:dPt>
                  <c:idx val="54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3D-E1EB-456A-BEBE-EF697796FB60}"/>
                    </c:ext>
                  </c:extLst>
                </c:dPt>
                <c:dPt>
                  <c:idx val="54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3F-E1EB-456A-BEBE-EF697796FB60}"/>
                    </c:ext>
                  </c:extLst>
                </c:dPt>
                <c:dPt>
                  <c:idx val="54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41-E1EB-456A-BEBE-EF697796FB60}"/>
                    </c:ext>
                  </c:extLst>
                </c:dPt>
                <c:dPt>
                  <c:idx val="54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43-E1EB-456A-BEBE-EF697796FB60}"/>
                    </c:ext>
                  </c:extLst>
                </c:dPt>
                <c:dPt>
                  <c:idx val="54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45-E1EB-456A-BEBE-EF697796FB60}"/>
                    </c:ext>
                  </c:extLst>
                </c:dPt>
                <c:dPt>
                  <c:idx val="54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47-E1EB-456A-BEBE-EF697796FB60}"/>
                    </c:ext>
                  </c:extLst>
                </c:dPt>
                <c:dPt>
                  <c:idx val="54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49-E1EB-456A-BEBE-EF697796FB60}"/>
                    </c:ext>
                  </c:extLst>
                </c:dPt>
                <c:dPt>
                  <c:idx val="54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4B-E1EB-456A-BEBE-EF697796FB60}"/>
                    </c:ext>
                  </c:extLst>
                </c:dPt>
                <c:dPt>
                  <c:idx val="54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4D-E1EB-456A-BEBE-EF697796FB60}"/>
                    </c:ext>
                  </c:extLst>
                </c:dPt>
                <c:dPt>
                  <c:idx val="55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4F-E1EB-456A-BEBE-EF697796FB60}"/>
                    </c:ext>
                  </c:extLst>
                </c:dPt>
                <c:dPt>
                  <c:idx val="55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51-E1EB-456A-BEBE-EF697796FB60}"/>
                    </c:ext>
                  </c:extLst>
                </c:dPt>
                <c:dPt>
                  <c:idx val="55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53-E1EB-456A-BEBE-EF697796FB60}"/>
                    </c:ext>
                  </c:extLst>
                </c:dPt>
                <c:dPt>
                  <c:idx val="55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55-E1EB-456A-BEBE-EF697796FB60}"/>
                    </c:ext>
                  </c:extLst>
                </c:dPt>
                <c:dPt>
                  <c:idx val="55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57-E1EB-456A-BEBE-EF697796FB60}"/>
                    </c:ext>
                  </c:extLst>
                </c:dPt>
                <c:dPt>
                  <c:idx val="55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59-E1EB-456A-BEBE-EF697796FB60}"/>
                    </c:ext>
                  </c:extLst>
                </c:dPt>
                <c:dPt>
                  <c:idx val="55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5B-E1EB-456A-BEBE-EF697796FB60}"/>
                    </c:ext>
                  </c:extLst>
                </c:dPt>
                <c:dPt>
                  <c:idx val="55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5D-E1EB-456A-BEBE-EF697796FB60}"/>
                    </c:ext>
                  </c:extLst>
                </c:dPt>
                <c:dPt>
                  <c:idx val="55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5F-E1EB-456A-BEBE-EF697796FB60}"/>
                    </c:ext>
                  </c:extLst>
                </c:dPt>
                <c:dPt>
                  <c:idx val="55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61-E1EB-456A-BEBE-EF697796FB60}"/>
                    </c:ext>
                  </c:extLst>
                </c:dPt>
                <c:dPt>
                  <c:idx val="56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63-E1EB-456A-BEBE-EF697796FB60}"/>
                    </c:ext>
                  </c:extLst>
                </c:dPt>
                <c:dPt>
                  <c:idx val="56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65-E1EB-456A-BEBE-EF697796FB60}"/>
                    </c:ext>
                  </c:extLst>
                </c:dPt>
                <c:dPt>
                  <c:idx val="56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67-E1EB-456A-BEBE-EF697796FB60}"/>
                    </c:ext>
                  </c:extLst>
                </c:dPt>
                <c:dPt>
                  <c:idx val="56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69-E1EB-456A-BEBE-EF697796FB60}"/>
                    </c:ext>
                  </c:extLst>
                </c:dPt>
                <c:dPt>
                  <c:idx val="56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6B-E1EB-456A-BEBE-EF697796FB60}"/>
                    </c:ext>
                  </c:extLst>
                </c:dPt>
                <c:dPt>
                  <c:idx val="56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6D-E1EB-456A-BEBE-EF697796FB60}"/>
                    </c:ext>
                  </c:extLst>
                </c:dPt>
                <c:dPt>
                  <c:idx val="56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6F-E1EB-456A-BEBE-EF697796FB60}"/>
                    </c:ext>
                  </c:extLst>
                </c:dPt>
                <c:dPt>
                  <c:idx val="56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71-E1EB-456A-BEBE-EF697796FB60}"/>
                    </c:ext>
                  </c:extLst>
                </c:dPt>
                <c:dPt>
                  <c:idx val="56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73-E1EB-456A-BEBE-EF697796FB60}"/>
                    </c:ext>
                  </c:extLst>
                </c:dPt>
                <c:dPt>
                  <c:idx val="56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75-E1EB-456A-BEBE-EF697796FB60}"/>
                    </c:ext>
                  </c:extLst>
                </c:dPt>
                <c:dPt>
                  <c:idx val="57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77-E1EB-456A-BEBE-EF697796FB60}"/>
                    </c:ext>
                  </c:extLst>
                </c:dPt>
                <c:dPt>
                  <c:idx val="57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79-E1EB-456A-BEBE-EF697796FB60}"/>
                    </c:ext>
                  </c:extLst>
                </c:dPt>
                <c:dPt>
                  <c:idx val="57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7B-E1EB-456A-BEBE-EF697796FB60}"/>
                    </c:ext>
                  </c:extLst>
                </c:dPt>
                <c:dPt>
                  <c:idx val="57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7D-E1EB-456A-BEBE-EF697796FB60}"/>
                    </c:ext>
                  </c:extLst>
                </c:dPt>
                <c:dPt>
                  <c:idx val="57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7F-E1EB-456A-BEBE-EF697796FB60}"/>
                    </c:ext>
                  </c:extLst>
                </c:dPt>
                <c:dPt>
                  <c:idx val="57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81-E1EB-456A-BEBE-EF697796FB60}"/>
                    </c:ext>
                  </c:extLst>
                </c:dPt>
                <c:dPt>
                  <c:idx val="57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83-E1EB-456A-BEBE-EF697796FB60}"/>
                    </c:ext>
                  </c:extLst>
                </c:dPt>
                <c:dPt>
                  <c:idx val="57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85-E1EB-456A-BEBE-EF697796FB60}"/>
                    </c:ext>
                  </c:extLst>
                </c:dPt>
                <c:dPt>
                  <c:idx val="57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87-E1EB-456A-BEBE-EF697796FB60}"/>
                    </c:ext>
                  </c:extLst>
                </c:dPt>
                <c:dPt>
                  <c:idx val="57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89-E1EB-456A-BEBE-EF697796FB60}"/>
                    </c:ext>
                  </c:extLst>
                </c:dPt>
                <c:dPt>
                  <c:idx val="58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8B-E1EB-456A-BEBE-EF697796FB60}"/>
                    </c:ext>
                  </c:extLst>
                </c:dPt>
                <c:dPt>
                  <c:idx val="58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8D-E1EB-456A-BEBE-EF697796FB60}"/>
                    </c:ext>
                  </c:extLst>
                </c:dPt>
                <c:dPt>
                  <c:idx val="58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8F-E1EB-456A-BEBE-EF697796FB60}"/>
                    </c:ext>
                  </c:extLst>
                </c:dPt>
                <c:dPt>
                  <c:idx val="58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91-E1EB-456A-BEBE-EF697796FB60}"/>
                    </c:ext>
                  </c:extLst>
                </c:dPt>
                <c:dPt>
                  <c:idx val="58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93-E1EB-456A-BEBE-EF697796FB60}"/>
                    </c:ext>
                  </c:extLst>
                </c:dPt>
                <c:dPt>
                  <c:idx val="58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95-E1EB-456A-BEBE-EF697796FB60}"/>
                    </c:ext>
                  </c:extLst>
                </c:dPt>
                <c:dPt>
                  <c:idx val="58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97-E1EB-456A-BEBE-EF697796FB60}"/>
                    </c:ext>
                  </c:extLst>
                </c:dPt>
                <c:dPt>
                  <c:idx val="58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99-E1EB-456A-BEBE-EF697796FB60}"/>
                    </c:ext>
                  </c:extLst>
                </c:dPt>
                <c:dPt>
                  <c:idx val="58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9B-E1EB-456A-BEBE-EF697796FB60}"/>
                    </c:ext>
                  </c:extLst>
                </c:dPt>
                <c:dPt>
                  <c:idx val="58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9D-E1EB-456A-BEBE-EF697796FB60}"/>
                    </c:ext>
                  </c:extLst>
                </c:dPt>
                <c:dPt>
                  <c:idx val="59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9F-E1EB-456A-BEBE-EF697796FB60}"/>
                    </c:ext>
                  </c:extLst>
                </c:dPt>
                <c:dPt>
                  <c:idx val="59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A1-E1EB-456A-BEBE-EF697796FB60}"/>
                    </c:ext>
                  </c:extLst>
                </c:dPt>
                <c:dPt>
                  <c:idx val="59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A3-E1EB-456A-BEBE-EF697796FB60}"/>
                    </c:ext>
                  </c:extLst>
                </c:dPt>
                <c:dPt>
                  <c:idx val="59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A5-E1EB-456A-BEBE-EF697796FB60}"/>
                    </c:ext>
                  </c:extLst>
                </c:dPt>
                <c:dPt>
                  <c:idx val="59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A7-E1EB-456A-BEBE-EF697796FB60}"/>
                    </c:ext>
                  </c:extLst>
                </c:dPt>
                <c:dPt>
                  <c:idx val="59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A9-E1EB-456A-BEBE-EF697796FB60}"/>
                    </c:ext>
                  </c:extLst>
                </c:dPt>
                <c:dPt>
                  <c:idx val="59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AB-E1EB-456A-BEBE-EF697796FB60}"/>
                    </c:ext>
                  </c:extLst>
                </c:dPt>
                <c:dPt>
                  <c:idx val="59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AD-E1EB-456A-BEBE-EF697796FB60}"/>
                    </c:ext>
                  </c:extLst>
                </c:dPt>
                <c:dPt>
                  <c:idx val="59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AF-E1EB-456A-BEBE-EF697796FB60}"/>
                    </c:ext>
                  </c:extLst>
                </c:dPt>
                <c:dPt>
                  <c:idx val="59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B1-E1EB-456A-BEBE-EF697796FB60}"/>
                    </c:ext>
                  </c:extLst>
                </c:dPt>
                <c:dPt>
                  <c:idx val="60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B3-E1EB-456A-BEBE-EF697796FB60}"/>
                    </c:ext>
                  </c:extLst>
                </c:dPt>
                <c:dPt>
                  <c:idx val="60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B5-E1EB-456A-BEBE-EF697796FB60}"/>
                    </c:ext>
                  </c:extLst>
                </c:dPt>
                <c:dPt>
                  <c:idx val="60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B7-E1EB-456A-BEBE-EF697796FB60}"/>
                    </c:ext>
                  </c:extLst>
                </c:dPt>
                <c:dPt>
                  <c:idx val="60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B9-E1EB-456A-BEBE-EF697796FB60}"/>
                    </c:ext>
                  </c:extLst>
                </c:dPt>
                <c:dPt>
                  <c:idx val="60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BB-E1EB-456A-BEBE-EF697796FB60}"/>
                    </c:ext>
                  </c:extLst>
                </c:dPt>
                <c:dPt>
                  <c:idx val="60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BD-E1EB-456A-BEBE-EF697796FB60}"/>
                    </c:ext>
                  </c:extLst>
                </c:dPt>
                <c:dPt>
                  <c:idx val="60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BF-E1EB-456A-BEBE-EF697796FB60}"/>
                    </c:ext>
                  </c:extLst>
                </c:dPt>
                <c:dPt>
                  <c:idx val="60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C1-E1EB-456A-BEBE-EF697796FB60}"/>
                    </c:ext>
                  </c:extLst>
                </c:dPt>
                <c:dPt>
                  <c:idx val="60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C3-E1EB-456A-BEBE-EF697796FB60}"/>
                    </c:ext>
                  </c:extLst>
                </c:dPt>
                <c:dPt>
                  <c:idx val="60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C5-E1EB-456A-BEBE-EF697796FB60}"/>
                    </c:ext>
                  </c:extLst>
                </c:dPt>
                <c:dPt>
                  <c:idx val="61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C7-E1EB-456A-BEBE-EF697796FB60}"/>
                    </c:ext>
                  </c:extLst>
                </c:dPt>
                <c:dPt>
                  <c:idx val="61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C9-E1EB-456A-BEBE-EF697796FB60}"/>
                    </c:ext>
                  </c:extLst>
                </c:dPt>
                <c:dPt>
                  <c:idx val="61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CB-E1EB-456A-BEBE-EF697796FB60}"/>
                    </c:ext>
                  </c:extLst>
                </c:dPt>
                <c:dPt>
                  <c:idx val="61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CD-E1EB-456A-BEBE-EF697796FB60}"/>
                    </c:ext>
                  </c:extLst>
                </c:dPt>
                <c:dPt>
                  <c:idx val="61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CF-E1EB-456A-BEBE-EF697796FB60}"/>
                    </c:ext>
                  </c:extLst>
                </c:dPt>
                <c:dPt>
                  <c:idx val="61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D1-E1EB-456A-BEBE-EF697796FB60}"/>
                    </c:ext>
                  </c:extLst>
                </c:dPt>
                <c:dPt>
                  <c:idx val="61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D3-E1EB-456A-BEBE-EF697796FB60}"/>
                    </c:ext>
                  </c:extLst>
                </c:dPt>
                <c:dPt>
                  <c:idx val="61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D5-E1EB-456A-BEBE-EF697796FB60}"/>
                    </c:ext>
                  </c:extLst>
                </c:dPt>
                <c:dPt>
                  <c:idx val="61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D7-E1EB-456A-BEBE-EF697796FB60}"/>
                    </c:ext>
                  </c:extLst>
                </c:dPt>
                <c:dPt>
                  <c:idx val="61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D9-E1EB-456A-BEBE-EF697796FB60}"/>
                    </c:ext>
                  </c:extLst>
                </c:dPt>
                <c:dPt>
                  <c:idx val="62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DB-E1EB-456A-BEBE-EF697796FB60}"/>
                    </c:ext>
                  </c:extLst>
                </c:dPt>
                <c:dPt>
                  <c:idx val="62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DD-E1EB-456A-BEBE-EF697796FB60}"/>
                    </c:ext>
                  </c:extLst>
                </c:dPt>
                <c:dPt>
                  <c:idx val="62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DF-E1EB-456A-BEBE-EF697796FB60}"/>
                    </c:ext>
                  </c:extLst>
                </c:dPt>
                <c:dPt>
                  <c:idx val="62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E1-E1EB-456A-BEBE-EF697796FB60}"/>
                    </c:ext>
                  </c:extLst>
                </c:dPt>
                <c:dPt>
                  <c:idx val="62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E3-E1EB-456A-BEBE-EF697796FB60}"/>
                    </c:ext>
                  </c:extLst>
                </c:dPt>
                <c:dPt>
                  <c:idx val="62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E5-E1EB-456A-BEBE-EF697796FB60}"/>
                    </c:ext>
                  </c:extLst>
                </c:dPt>
                <c:dPt>
                  <c:idx val="62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E7-E1EB-456A-BEBE-EF697796FB60}"/>
                    </c:ext>
                  </c:extLst>
                </c:dPt>
                <c:dPt>
                  <c:idx val="62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E9-E1EB-456A-BEBE-EF697796FB60}"/>
                    </c:ext>
                  </c:extLst>
                </c:dPt>
                <c:dPt>
                  <c:idx val="62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EB-E1EB-456A-BEBE-EF697796FB60}"/>
                    </c:ext>
                  </c:extLst>
                </c:dPt>
                <c:dPt>
                  <c:idx val="62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ED-E1EB-456A-BEBE-EF697796FB60}"/>
                    </c:ext>
                  </c:extLst>
                </c:dPt>
                <c:dPt>
                  <c:idx val="63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EF-E1EB-456A-BEBE-EF697796FB60}"/>
                    </c:ext>
                  </c:extLst>
                </c:dPt>
                <c:dPt>
                  <c:idx val="63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F1-E1EB-456A-BEBE-EF697796FB60}"/>
                    </c:ext>
                  </c:extLst>
                </c:dPt>
                <c:dPt>
                  <c:idx val="63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F3-E1EB-456A-BEBE-EF697796FB60}"/>
                    </c:ext>
                  </c:extLst>
                </c:dPt>
                <c:dPt>
                  <c:idx val="63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F5-E1EB-456A-BEBE-EF697796FB60}"/>
                    </c:ext>
                  </c:extLst>
                </c:dPt>
                <c:dPt>
                  <c:idx val="63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F7-E1EB-456A-BEBE-EF697796FB60}"/>
                    </c:ext>
                  </c:extLst>
                </c:dPt>
                <c:dPt>
                  <c:idx val="63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F9-E1EB-456A-BEBE-EF697796FB60}"/>
                    </c:ext>
                  </c:extLst>
                </c:dPt>
                <c:dPt>
                  <c:idx val="63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FB-E1EB-456A-BEBE-EF697796FB60}"/>
                    </c:ext>
                  </c:extLst>
                </c:dPt>
                <c:dPt>
                  <c:idx val="63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FD-E1EB-456A-BEBE-EF697796FB60}"/>
                    </c:ext>
                  </c:extLst>
                </c:dPt>
                <c:dPt>
                  <c:idx val="63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FF-E1EB-456A-BEBE-EF697796FB60}"/>
                    </c:ext>
                  </c:extLst>
                </c:dPt>
                <c:dPt>
                  <c:idx val="63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01-E1EB-456A-BEBE-EF697796FB60}"/>
                    </c:ext>
                  </c:extLst>
                </c:dPt>
                <c:dPt>
                  <c:idx val="64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03-E1EB-456A-BEBE-EF697796FB60}"/>
                    </c:ext>
                  </c:extLst>
                </c:dPt>
                <c:dPt>
                  <c:idx val="64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05-E1EB-456A-BEBE-EF697796FB60}"/>
                    </c:ext>
                  </c:extLst>
                </c:dPt>
                <c:dPt>
                  <c:idx val="64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07-E1EB-456A-BEBE-EF697796FB60}"/>
                    </c:ext>
                  </c:extLst>
                </c:dPt>
                <c:dPt>
                  <c:idx val="64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09-E1EB-456A-BEBE-EF697796FB60}"/>
                    </c:ext>
                  </c:extLst>
                </c:dPt>
                <c:dPt>
                  <c:idx val="64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0B-E1EB-456A-BEBE-EF697796FB60}"/>
                    </c:ext>
                  </c:extLst>
                </c:dPt>
                <c:dPt>
                  <c:idx val="64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0D-E1EB-456A-BEBE-EF697796FB60}"/>
                    </c:ext>
                  </c:extLst>
                </c:dPt>
                <c:dPt>
                  <c:idx val="64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0F-E1EB-456A-BEBE-EF697796FB60}"/>
                    </c:ext>
                  </c:extLst>
                </c:dPt>
                <c:dPt>
                  <c:idx val="64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11-E1EB-456A-BEBE-EF697796FB60}"/>
                    </c:ext>
                  </c:extLst>
                </c:dPt>
                <c:dPt>
                  <c:idx val="64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13-E1EB-456A-BEBE-EF697796FB60}"/>
                    </c:ext>
                  </c:extLst>
                </c:dPt>
                <c:dPt>
                  <c:idx val="64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15-E1EB-456A-BEBE-EF697796FB60}"/>
                    </c:ext>
                  </c:extLst>
                </c:dPt>
                <c:dPt>
                  <c:idx val="65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17-E1EB-456A-BEBE-EF697796FB60}"/>
                    </c:ext>
                  </c:extLst>
                </c:dPt>
                <c:dPt>
                  <c:idx val="65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19-E1EB-456A-BEBE-EF697796FB60}"/>
                    </c:ext>
                  </c:extLst>
                </c:dPt>
                <c:dPt>
                  <c:idx val="65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1B-E1EB-456A-BEBE-EF697796FB60}"/>
                    </c:ext>
                  </c:extLst>
                </c:dPt>
                <c:dPt>
                  <c:idx val="65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1D-E1EB-456A-BEBE-EF697796FB60}"/>
                    </c:ext>
                  </c:extLst>
                </c:dPt>
                <c:dPt>
                  <c:idx val="65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1F-E1EB-456A-BEBE-EF697796FB60}"/>
                    </c:ext>
                  </c:extLst>
                </c:dPt>
                <c:dPt>
                  <c:idx val="65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21-E1EB-456A-BEBE-EF697796FB60}"/>
                    </c:ext>
                  </c:extLst>
                </c:dPt>
                <c:dPt>
                  <c:idx val="65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23-E1EB-456A-BEBE-EF697796FB60}"/>
                    </c:ext>
                  </c:extLst>
                </c:dPt>
                <c:dPt>
                  <c:idx val="65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25-E1EB-456A-BEBE-EF697796FB60}"/>
                    </c:ext>
                  </c:extLst>
                </c:dPt>
                <c:dPt>
                  <c:idx val="65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27-E1EB-456A-BEBE-EF697796FB60}"/>
                    </c:ext>
                  </c:extLst>
                </c:dPt>
                <c:dPt>
                  <c:idx val="65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29-E1EB-456A-BEBE-EF697796FB60}"/>
                    </c:ext>
                  </c:extLst>
                </c:dPt>
                <c:dPt>
                  <c:idx val="66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2B-E1EB-456A-BEBE-EF697796FB60}"/>
                    </c:ext>
                  </c:extLst>
                </c:dPt>
                <c:dPt>
                  <c:idx val="66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2D-E1EB-456A-BEBE-EF697796FB60}"/>
                    </c:ext>
                  </c:extLst>
                </c:dPt>
                <c:dPt>
                  <c:idx val="66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2F-E1EB-456A-BEBE-EF697796FB60}"/>
                    </c:ext>
                  </c:extLst>
                </c:dPt>
                <c:dPt>
                  <c:idx val="66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31-E1EB-456A-BEBE-EF697796FB60}"/>
                    </c:ext>
                  </c:extLst>
                </c:dPt>
                <c:dPt>
                  <c:idx val="66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33-E1EB-456A-BEBE-EF697796FB60}"/>
                    </c:ext>
                  </c:extLst>
                </c:dPt>
                <c:dPt>
                  <c:idx val="66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35-E1EB-456A-BEBE-EF697796FB60}"/>
                    </c:ext>
                  </c:extLst>
                </c:dPt>
                <c:dPt>
                  <c:idx val="66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37-E1EB-456A-BEBE-EF697796FB60}"/>
                    </c:ext>
                  </c:extLst>
                </c:dPt>
                <c:dPt>
                  <c:idx val="66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39-E1EB-456A-BEBE-EF697796FB60}"/>
                    </c:ext>
                  </c:extLst>
                </c:dPt>
                <c:dPt>
                  <c:idx val="66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3B-E1EB-456A-BEBE-EF697796FB60}"/>
                    </c:ext>
                  </c:extLst>
                </c:dPt>
                <c:dPt>
                  <c:idx val="66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3D-E1EB-456A-BEBE-EF697796FB60}"/>
                    </c:ext>
                  </c:extLst>
                </c:dPt>
                <c:dPt>
                  <c:idx val="67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3F-E1EB-456A-BEBE-EF697796FB60}"/>
                    </c:ext>
                  </c:extLst>
                </c:dPt>
                <c:dPt>
                  <c:idx val="67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41-E1EB-456A-BEBE-EF697796FB60}"/>
                    </c:ext>
                  </c:extLst>
                </c:dPt>
                <c:dPt>
                  <c:idx val="67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43-E1EB-456A-BEBE-EF697796FB60}"/>
                    </c:ext>
                  </c:extLst>
                </c:dPt>
                <c:dPt>
                  <c:idx val="67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45-E1EB-456A-BEBE-EF697796FB60}"/>
                    </c:ext>
                  </c:extLst>
                </c:dPt>
                <c:dPt>
                  <c:idx val="67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47-E1EB-456A-BEBE-EF697796FB60}"/>
                    </c:ext>
                  </c:extLst>
                </c:dPt>
                <c:dPt>
                  <c:idx val="67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49-E1EB-456A-BEBE-EF697796FB60}"/>
                    </c:ext>
                  </c:extLst>
                </c:dPt>
                <c:dPt>
                  <c:idx val="67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4B-E1EB-456A-BEBE-EF697796FB60}"/>
                    </c:ext>
                  </c:extLst>
                </c:dPt>
                <c:dPt>
                  <c:idx val="67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4D-E1EB-456A-BEBE-EF697796FB60}"/>
                    </c:ext>
                  </c:extLst>
                </c:dPt>
                <c:dPt>
                  <c:idx val="67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4F-E1EB-456A-BEBE-EF697796FB60}"/>
                    </c:ext>
                  </c:extLst>
                </c:dPt>
                <c:dPt>
                  <c:idx val="67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51-E1EB-456A-BEBE-EF697796FB60}"/>
                    </c:ext>
                  </c:extLst>
                </c:dPt>
                <c:dPt>
                  <c:idx val="68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53-E1EB-456A-BEBE-EF697796FB60}"/>
                    </c:ext>
                  </c:extLst>
                </c:dPt>
                <c:dPt>
                  <c:idx val="68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55-E1EB-456A-BEBE-EF697796FB60}"/>
                    </c:ext>
                  </c:extLst>
                </c:dPt>
                <c:dPt>
                  <c:idx val="68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57-E1EB-456A-BEBE-EF697796FB60}"/>
                    </c:ext>
                  </c:extLst>
                </c:dPt>
                <c:dPt>
                  <c:idx val="68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59-E1EB-456A-BEBE-EF697796FB60}"/>
                    </c:ext>
                  </c:extLst>
                </c:dPt>
                <c:dPt>
                  <c:idx val="68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5B-E1EB-456A-BEBE-EF697796FB60}"/>
                    </c:ext>
                  </c:extLst>
                </c:dPt>
                <c:dPt>
                  <c:idx val="68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5D-E1EB-456A-BEBE-EF697796FB60}"/>
                    </c:ext>
                  </c:extLst>
                </c:dPt>
                <c:dPt>
                  <c:idx val="68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5F-E1EB-456A-BEBE-EF697796FB60}"/>
                    </c:ext>
                  </c:extLst>
                </c:dPt>
                <c:dPt>
                  <c:idx val="68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61-E1EB-456A-BEBE-EF697796FB60}"/>
                    </c:ext>
                  </c:extLst>
                </c:dPt>
                <c:dPt>
                  <c:idx val="68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63-E1EB-456A-BEBE-EF697796FB60}"/>
                    </c:ext>
                  </c:extLst>
                </c:dPt>
                <c:dPt>
                  <c:idx val="68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65-E1EB-456A-BEBE-EF697796FB60}"/>
                    </c:ext>
                  </c:extLst>
                </c:dPt>
                <c:dPt>
                  <c:idx val="69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67-E1EB-456A-BEBE-EF697796FB60}"/>
                    </c:ext>
                  </c:extLst>
                </c:dPt>
                <c:dPt>
                  <c:idx val="69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69-E1EB-456A-BEBE-EF697796FB60}"/>
                    </c:ext>
                  </c:extLst>
                </c:dPt>
                <c:dPt>
                  <c:idx val="69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6B-E1EB-456A-BEBE-EF697796FB60}"/>
                    </c:ext>
                  </c:extLst>
                </c:dPt>
                <c:dPt>
                  <c:idx val="69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6D-E1EB-456A-BEBE-EF697796FB60}"/>
                    </c:ext>
                  </c:extLst>
                </c:dPt>
                <c:dPt>
                  <c:idx val="69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6F-E1EB-456A-BEBE-EF697796FB60}"/>
                    </c:ext>
                  </c:extLst>
                </c:dPt>
                <c:dPt>
                  <c:idx val="69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71-E1EB-456A-BEBE-EF697796FB60}"/>
                    </c:ext>
                  </c:extLst>
                </c:dPt>
                <c:dPt>
                  <c:idx val="69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73-E1EB-456A-BEBE-EF697796FB60}"/>
                    </c:ext>
                  </c:extLst>
                </c:dPt>
                <c:dPt>
                  <c:idx val="69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75-E1EB-456A-BEBE-EF697796FB60}"/>
                    </c:ext>
                  </c:extLst>
                </c:dPt>
                <c:dPt>
                  <c:idx val="69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77-E1EB-456A-BEBE-EF697796FB60}"/>
                    </c:ext>
                  </c:extLst>
                </c:dPt>
                <c:dPt>
                  <c:idx val="69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79-E1EB-456A-BEBE-EF697796FB60}"/>
                    </c:ext>
                  </c:extLst>
                </c:dPt>
                <c:dPt>
                  <c:idx val="70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7B-E1EB-456A-BEBE-EF697796FB60}"/>
                    </c:ext>
                  </c:extLst>
                </c:dPt>
                <c:dPt>
                  <c:idx val="70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7D-E1EB-456A-BEBE-EF697796FB60}"/>
                    </c:ext>
                  </c:extLst>
                </c:dPt>
                <c:dPt>
                  <c:idx val="70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7F-E1EB-456A-BEBE-EF697796FB60}"/>
                    </c:ext>
                  </c:extLst>
                </c:dPt>
                <c:dPt>
                  <c:idx val="70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81-E1EB-456A-BEBE-EF697796FB60}"/>
                    </c:ext>
                  </c:extLst>
                </c:dPt>
                <c:dPt>
                  <c:idx val="70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83-E1EB-456A-BEBE-EF697796FB60}"/>
                    </c:ext>
                  </c:extLst>
                </c:dPt>
                <c:dPt>
                  <c:idx val="70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85-E1EB-456A-BEBE-EF697796FB60}"/>
                    </c:ext>
                  </c:extLst>
                </c:dPt>
                <c:dPt>
                  <c:idx val="70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87-E1EB-456A-BEBE-EF697796FB60}"/>
                    </c:ext>
                  </c:extLst>
                </c:dPt>
                <c:dPt>
                  <c:idx val="70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89-E1EB-456A-BEBE-EF697796FB60}"/>
                    </c:ext>
                  </c:extLst>
                </c:dPt>
                <c:dPt>
                  <c:idx val="70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8B-E1EB-456A-BEBE-EF697796FB60}"/>
                    </c:ext>
                  </c:extLst>
                </c:dPt>
                <c:dPt>
                  <c:idx val="70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8D-E1EB-456A-BEBE-EF697796FB60}"/>
                    </c:ext>
                  </c:extLst>
                </c:dPt>
                <c:dPt>
                  <c:idx val="71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8F-E1EB-456A-BEBE-EF697796FB60}"/>
                    </c:ext>
                  </c:extLst>
                </c:dPt>
                <c:dPt>
                  <c:idx val="71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91-E1EB-456A-BEBE-EF697796FB60}"/>
                    </c:ext>
                  </c:extLst>
                </c:dPt>
                <c:dPt>
                  <c:idx val="71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93-E1EB-456A-BEBE-EF697796FB60}"/>
                    </c:ext>
                  </c:extLst>
                </c:dPt>
                <c:dPt>
                  <c:idx val="71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95-E1EB-456A-BEBE-EF697796FB60}"/>
                    </c:ext>
                  </c:extLst>
                </c:dPt>
                <c:dPt>
                  <c:idx val="71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97-E1EB-456A-BEBE-EF697796FB60}"/>
                    </c:ext>
                  </c:extLst>
                </c:dPt>
                <c:dPt>
                  <c:idx val="71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99-E1EB-456A-BEBE-EF697796FB60}"/>
                    </c:ext>
                  </c:extLst>
                </c:dPt>
                <c:dPt>
                  <c:idx val="71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9B-E1EB-456A-BEBE-EF697796FB60}"/>
                    </c:ext>
                  </c:extLst>
                </c:dPt>
                <c:dPt>
                  <c:idx val="71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9D-E1EB-456A-BEBE-EF697796FB60}"/>
                    </c:ext>
                  </c:extLst>
                </c:dPt>
                <c:dPt>
                  <c:idx val="71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9F-E1EB-456A-BEBE-EF697796FB60}"/>
                    </c:ext>
                  </c:extLst>
                </c:dPt>
                <c:dPt>
                  <c:idx val="71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A1-E1EB-456A-BEBE-EF697796FB60}"/>
                    </c:ext>
                  </c:extLst>
                </c:dPt>
                <c:dPt>
                  <c:idx val="72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A3-E1EB-456A-BEBE-EF697796FB60}"/>
                    </c:ext>
                  </c:extLst>
                </c:dPt>
                <c:dPt>
                  <c:idx val="72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A5-E1EB-456A-BEBE-EF697796FB60}"/>
                    </c:ext>
                  </c:extLst>
                </c:dPt>
                <c:dPt>
                  <c:idx val="72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A7-E1EB-456A-BEBE-EF697796FB60}"/>
                    </c:ext>
                  </c:extLst>
                </c:dPt>
                <c:dPt>
                  <c:idx val="72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A9-E1EB-456A-BEBE-EF697796FB60}"/>
                    </c:ext>
                  </c:extLst>
                </c:dPt>
                <c:dPt>
                  <c:idx val="72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AB-E1EB-456A-BEBE-EF697796FB60}"/>
                    </c:ext>
                  </c:extLst>
                </c:dPt>
                <c:dPt>
                  <c:idx val="72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AD-E1EB-456A-BEBE-EF697796FB60}"/>
                    </c:ext>
                  </c:extLst>
                </c:dPt>
                <c:dPt>
                  <c:idx val="72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AF-E1EB-456A-BEBE-EF697796FB60}"/>
                    </c:ext>
                  </c:extLst>
                </c:dPt>
                <c:dPt>
                  <c:idx val="72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B1-E1EB-456A-BEBE-EF697796FB60}"/>
                    </c:ext>
                  </c:extLst>
                </c:dPt>
                <c:dPt>
                  <c:idx val="72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B3-E1EB-456A-BEBE-EF697796FB60}"/>
                    </c:ext>
                  </c:extLst>
                </c:dPt>
                <c:dPt>
                  <c:idx val="72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B5-E1EB-456A-BEBE-EF697796FB60}"/>
                    </c:ext>
                  </c:extLst>
                </c:dPt>
                <c:dPt>
                  <c:idx val="73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B7-E1EB-456A-BEBE-EF697796FB60}"/>
                    </c:ext>
                  </c:extLst>
                </c:dPt>
                <c:dPt>
                  <c:idx val="73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B9-E1EB-456A-BEBE-EF697796FB60}"/>
                    </c:ext>
                  </c:extLst>
                </c:dPt>
                <c:dPt>
                  <c:idx val="73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BB-E1EB-456A-BEBE-EF697796FB60}"/>
                    </c:ext>
                  </c:extLst>
                </c:dPt>
                <c:dPt>
                  <c:idx val="73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BD-E1EB-456A-BEBE-EF697796FB60}"/>
                    </c:ext>
                  </c:extLst>
                </c:dPt>
                <c:dPt>
                  <c:idx val="73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BF-E1EB-456A-BEBE-EF697796FB60}"/>
                    </c:ext>
                  </c:extLst>
                </c:dPt>
                <c:dPt>
                  <c:idx val="73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C1-E1EB-456A-BEBE-EF697796FB60}"/>
                    </c:ext>
                  </c:extLst>
                </c:dPt>
                <c:dPt>
                  <c:idx val="73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C3-E1EB-456A-BEBE-EF697796FB60}"/>
                    </c:ext>
                  </c:extLst>
                </c:dPt>
                <c:dPt>
                  <c:idx val="73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C5-E1EB-456A-BEBE-EF697796FB60}"/>
                    </c:ext>
                  </c:extLst>
                </c:dPt>
                <c:dPt>
                  <c:idx val="73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C7-E1EB-456A-BEBE-EF697796FB60}"/>
                    </c:ext>
                  </c:extLst>
                </c:dPt>
                <c:dPt>
                  <c:idx val="73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C9-E1EB-456A-BEBE-EF697796FB60}"/>
                    </c:ext>
                  </c:extLst>
                </c:dPt>
                <c:dPt>
                  <c:idx val="74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CB-E1EB-456A-BEBE-EF697796FB60}"/>
                    </c:ext>
                  </c:extLst>
                </c:dPt>
                <c:dPt>
                  <c:idx val="74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CD-E1EB-456A-BEBE-EF697796FB60}"/>
                    </c:ext>
                  </c:extLst>
                </c:dPt>
                <c:dPt>
                  <c:idx val="74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CF-E1EB-456A-BEBE-EF697796FB60}"/>
                    </c:ext>
                  </c:extLst>
                </c:dPt>
                <c:dPt>
                  <c:idx val="74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D1-E1EB-456A-BEBE-EF697796FB60}"/>
                    </c:ext>
                  </c:extLst>
                </c:dPt>
                <c:dPt>
                  <c:idx val="74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D3-E1EB-456A-BEBE-EF697796FB60}"/>
                    </c:ext>
                  </c:extLst>
                </c:dPt>
                <c:dPt>
                  <c:idx val="74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D5-E1EB-456A-BEBE-EF697796FB60}"/>
                    </c:ext>
                  </c:extLst>
                </c:dPt>
                <c:dPt>
                  <c:idx val="74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D7-E1EB-456A-BEBE-EF697796FB60}"/>
                    </c:ext>
                  </c:extLst>
                </c:dPt>
                <c:dPt>
                  <c:idx val="74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D9-E1EB-456A-BEBE-EF697796FB60}"/>
                    </c:ext>
                  </c:extLst>
                </c:dPt>
                <c:dPt>
                  <c:idx val="74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DB-E1EB-456A-BEBE-EF697796FB60}"/>
                    </c:ext>
                  </c:extLst>
                </c:dPt>
                <c:dPt>
                  <c:idx val="74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DD-E1EB-456A-BEBE-EF697796FB60}"/>
                    </c:ext>
                  </c:extLst>
                </c:dPt>
                <c:dPt>
                  <c:idx val="75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DF-E1EB-456A-BEBE-EF697796FB60}"/>
                    </c:ext>
                  </c:extLst>
                </c:dPt>
                <c:dPt>
                  <c:idx val="75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E1-E1EB-456A-BEBE-EF697796FB60}"/>
                    </c:ext>
                  </c:extLst>
                </c:dPt>
                <c:dPt>
                  <c:idx val="75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E3-E1EB-456A-BEBE-EF697796FB60}"/>
                    </c:ext>
                  </c:extLst>
                </c:dPt>
                <c:dPt>
                  <c:idx val="75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E5-E1EB-456A-BEBE-EF697796FB60}"/>
                    </c:ext>
                  </c:extLst>
                </c:dPt>
                <c:dPt>
                  <c:idx val="75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E7-E1EB-456A-BEBE-EF697796FB60}"/>
                    </c:ext>
                  </c:extLst>
                </c:dPt>
                <c:dPt>
                  <c:idx val="75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E9-E1EB-456A-BEBE-EF697796FB60}"/>
                    </c:ext>
                  </c:extLst>
                </c:dPt>
                <c:dPt>
                  <c:idx val="75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EB-E1EB-456A-BEBE-EF697796FB60}"/>
                    </c:ext>
                  </c:extLst>
                </c:dPt>
                <c:dPt>
                  <c:idx val="75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ED-E1EB-456A-BEBE-EF697796FB60}"/>
                    </c:ext>
                  </c:extLst>
                </c:dPt>
                <c:dPt>
                  <c:idx val="75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EF-E1EB-456A-BEBE-EF697796FB60}"/>
                    </c:ext>
                  </c:extLst>
                </c:dPt>
                <c:dPt>
                  <c:idx val="75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F1-E1EB-456A-BEBE-EF697796FB60}"/>
                    </c:ext>
                  </c:extLst>
                </c:dPt>
                <c:dPt>
                  <c:idx val="76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F3-E1EB-456A-BEBE-EF697796FB60}"/>
                    </c:ext>
                  </c:extLst>
                </c:dPt>
                <c:dPt>
                  <c:idx val="76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F5-E1EB-456A-BEBE-EF697796FB60}"/>
                    </c:ext>
                  </c:extLst>
                </c:dPt>
                <c:dPt>
                  <c:idx val="76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F7-E1EB-456A-BEBE-EF697796FB60}"/>
                    </c:ext>
                  </c:extLst>
                </c:dPt>
                <c:dPt>
                  <c:idx val="76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F9-E1EB-456A-BEBE-EF697796FB60}"/>
                    </c:ext>
                  </c:extLst>
                </c:dPt>
                <c:dPt>
                  <c:idx val="76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FB-E1EB-456A-BEBE-EF697796FB60}"/>
                    </c:ext>
                  </c:extLst>
                </c:dPt>
                <c:dPt>
                  <c:idx val="76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FD-E1EB-456A-BEBE-EF697796FB60}"/>
                    </c:ext>
                  </c:extLst>
                </c:dPt>
                <c:dPt>
                  <c:idx val="76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FF-E1EB-456A-BEBE-EF697796FB60}"/>
                    </c:ext>
                  </c:extLst>
                </c:dPt>
                <c:dPt>
                  <c:idx val="76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01-E1EB-456A-BEBE-EF697796FB60}"/>
                    </c:ext>
                  </c:extLst>
                </c:dPt>
                <c:dPt>
                  <c:idx val="76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03-E1EB-456A-BEBE-EF697796FB60}"/>
                    </c:ext>
                  </c:extLst>
                </c:dPt>
                <c:dPt>
                  <c:idx val="76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05-E1EB-456A-BEBE-EF697796FB60}"/>
                    </c:ext>
                  </c:extLst>
                </c:dPt>
                <c:dPt>
                  <c:idx val="77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07-E1EB-456A-BEBE-EF697796FB60}"/>
                    </c:ext>
                  </c:extLst>
                </c:dPt>
                <c:dPt>
                  <c:idx val="77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09-E1EB-456A-BEBE-EF697796FB60}"/>
                    </c:ext>
                  </c:extLst>
                </c:dPt>
                <c:dPt>
                  <c:idx val="77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0B-E1EB-456A-BEBE-EF697796FB60}"/>
                    </c:ext>
                  </c:extLst>
                </c:dPt>
                <c:dPt>
                  <c:idx val="77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0D-E1EB-456A-BEBE-EF697796FB60}"/>
                    </c:ext>
                  </c:extLst>
                </c:dPt>
                <c:dPt>
                  <c:idx val="77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0F-E1EB-456A-BEBE-EF697796FB60}"/>
                    </c:ext>
                  </c:extLst>
                </c:dPt>
                <c:dPt>
                  <c:idx val="77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11-E1EB-456A-BEBE-EF697796FB60}"/>
                    </c:ext>
                  </c:extLst>
                </c:dPt>
                <c:dPt>
                  <c:idx val="77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13-E1EB-456A-BEBE-EF697796FB60}"/>
                    </c:ext>
                  </c:extLst>
                </c:dPt>
                <c:dPt>
                  <c:idx val="77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15-E1EB-456A-BEBE-EF697796FB60}"/>
                    </c:ext>
                  </c:extLst>
                </c:dPt>
                <c:dPt>
                  <c:idx val="77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17-E1EB-456A-BEBE-EF697796FB60}"/>
                    </c:ext>
                  </c:extLst>
                </c:dPt>
                <c:dPt>
                  <c:idx val="77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19-E1EB-456A-BEBE-EF697796FB60}"/>
                    </c:ext>
                  </c:extLst>
                </c:dPt>
                <c:dPt>
                  <c:idx val="78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1B-E1EB-456A-BEBE-EF697796FB60}"/>
                    </c:ext>
                  </c:extLst>
                </c:dPt>
                <c:dPt>
                  <c:idx val="78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1D-E1EB-456A-BEBE-EF697796FB60}"/>
                    </c:ext>
                  </c:extLst>
                </c:dPt>
                <c:dPt>
                  <c:idx val="78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1F-E1EB-456A-BEBE-EF697796FB60}"/>
                    </c:ext>
                  </c:extLst>
                </c:dPt>
                <c:dPt>
                  <c:idx val="78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21-E1EB-456A-BEBE-EF697796FB60}"/>
                    </c:ext>
                  </c:extLst>
                </c:dPt>
                <c:dPt>
                  <c:idx val="78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23-E1EB-456A-BEBE-EF697796FB60}"/>
                    </c:ext>
                  </c:extLst>
                </c:dPt>
                <c:dPt>
                  <c:idx val="78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25-E1EB-456A-BEBE-EF697796FB60}"/>
                    </c:ext>
                  </c:extLst>
                </c:dPt>
                <c:dPt>
                  <c:idx val="78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27-E1EB-456A-BEBE-EF697796FB60}"/>
                    </c:ext>
                  </c:extLst>
                </c:dPt>
                <c:dPt>
                  <c:idx val="78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29-E1EB-456A-BEBE-EF697796FB60}"/>
                    </c:ext>
                  </c:extLst>
                </c:dPt>
                <c:dPt>
                  <c:idx val="78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2B-E1EB-456A-BEBE-EF697796FB60}"/>
                    </c:ext>
                  </c:extLst>
                </c:dPt>
                <c:dPt>
                  <c:idx val="78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2D-E1EB-456A-BEBE-EF697796FB60}"/>
                    </c:ext>
                  </c:extLst>
                </c:dPt>
                <c:dPt>
                  <c:idx val="79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2F-E1EB-456A-BEBE-EF697796FB60}"/>
                    </c:ext>
                  </c:extLst>
                </c:dPt>
                <c:dPt>
                  <c:idx val="79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31-E1EB-456A-BEBE-EF697796FB60}"/>
                    </c:ext>
                  </c:extLst>
                </c:dPt>
                <c:dPt>
                  <c:idx val="79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33-E1EB-456A-BEBE-EF697796FB60}"/>
                    </c:ext>
                  </c:extLst>
                </c:dPt>
                <c:dPt>
                  <c:idx val="79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35-E1EB-456A-BEBE-EF697796FB60}"/>
                    </c:ext>
                  </c:extLst>
                </c:dPt>
                <c:dPt>
                  <c:idx val="79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37-E1EB-456A-BEBE-EF697796FB60}"/>
                    </c:ext>
                  </c:extLst>
                </c:dPt>
                <c:dPt>
                  <c:idx val="79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39-E1EB-456A-BEBE-EF697796FB60}"/>
                    </c:ext>
                  </c:extLst>
                </c:dPt>
                <c:dPt>
                  <c:idx val="79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3B-E1EB-456A-BEBE-EF697796FB60}"/>
                    </c:ext>
                  </c:extLst>
                </c:dPt>
                <c:dPt>
                  <c:idx val="79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3D-E1EB-456A-BEBE-EF697796FB60}"/>
                    </c:ext>
                  </c:extLst>
                </c:dPt>
                <c:dPt>
                  <c:idx val="79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3F-E1EB-456A-BEBE-EF697796FB60}"/>
                    </c:ext>
                  </c:extLst>
                </c:dPt>
                <c:dPt>
                  <c:idx val="79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41-E1EB-456A-BEBE-EF697796FB60}"/>
                    </c:ext>
                  </c:extLst>
                </c:dPt>
                <c:dPt>
                  <c:idx val="80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43-E1EB-456A-BEBE-EF697796FB60}"/>
                    </c:ext>
                  </c:extLst>
                </c:dPt>
                <c:dPt>
                  <c:idx val="80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45-E1EB-456A-BEBE-EF697796FB60}"/>
                    </c:ext>
                  </c:extLst>
                </c:dPt>
                <c:dPt>
                  <c:idx val="80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47-E1EB-456A-BEBE-EF697796FB60}"/>
                    </c:ext>
                  </c:extLst>
                </c:dPt>
                <c:dPt>
                  <c:idx val="80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49-E1EB-456A-BEBE-EF697796FB60}"/>
                    </c:ext>
                  </c:extLst>
                </c:dPt>
                <c:dPt>
                  <c:idx val="80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4B-E1EB-456A-BEBE-EF697796FB60}"/>
                    </c:ext>
                  </c:extLst>
                </c:dPt>
                <c:dPt>
                  <c:idx val="80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4D-E1EB-456A-BEBE-EF697796FB60}"/>
                    </c:ext>
                  </c:extLst>
                </c:dPt>
                <c:dPt>
                  <c:idx val="80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4F-E1EB-456A-BEBE-EF697796FB60}"/>
                    </c:ext>
                  </c:extLst>
                </c:dPt>
                <c:dPt>
                  <c:idx val="80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51-E1EB-456A-BEBE-EF697796FB60}"/>
                    </c:ext>
                  </c:extLst>
                </c:dPt>
                <c:dPt>
                  <c:idx val="80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53-E1EB-456A-BEBE-EF697796FB60}"/>
                    </c:ext>
                  </c:extLst>
                </c:dPt>
                <c:dPt>
                  <c:idx val="80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55-E1EB-456A-BEBE-EF697796FB60}"/>
                    </c:ext>
                  </c:extLst>
                </c:dPt>
                <c:dPt>
                  <c:idx val="81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57-E1EB-456A-BEBE-EF697796FB60}"/>
                    </c:ext>
                  </c:extLst>
                </c:dPt>
                <c:dPt>
                  <c:idx val="81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59-E1EB-456A-BEBE-EF697796FB60}"/>
                    </c:ext>
                  </c:extLst>
                </c:dPt>
                <c:dPt>
                  <c:idx val="81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5B-E1EB-456A-BEBE-EF697796FB60}"/>
                    </c:ext>
                  </c:extLst>
                </c:dPt>
                <c:dPt>
                  <c:idx val="81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5D-E1EB-456A-BEBE-EF697796FB60}"/>
                    </c:ext>
                  </c:extLst>
                </c:dPt>
                <c:dPt>
                  <c:idx val="81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5F-E1EB-456A-BEBE-EF697796FB60}"/>
                    </c:ext>
                  </c:extLst>
                </c:dPt>
                <c:dPt>
                  <c:idx val="81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61-E1EB-456A-BEBE-EF697796FB60}"/>
                    </c:ext>
                  </c:extLst>
                </c:dPt>
                <c:dPt>
                  <c:idx val="81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63-E1EB-456A-BEBE-EF697796FB60}"/>
                    </c:ext>
                  </c:extLst>
                </c:dPt>
                <c:dPt>
                  <c:idx val="81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65-E1EB-456A-BEBE-EF697796FB60}"/>
                    </c:ext>
                  </c:extLst>
                </c:dPt>
                <c:dPt>
                  <c:idx val="81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67-E1EB-456A-BEBE-EF697796FB60}"/>
                    </c:ext>
                  </c:extLst>
                </c:dPt>
                <c:dPt>
                  <c:idx val="81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69-E1EB-456A-BEBE-EF697796FB60}"/>
                    </c:ext>
                  </c:extLst>
                </c:dPt>
                <c:dPt>
                  <c:idx val="82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6B-E1EB-456A-BEBE-EF697796FB60}"/>
                    </c:ext>
                  </c:extLst>
                </c:dPt>
                <c:dPt>
                  <c:idx val="82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6D-E1EB-456A-BEBE-EF697796FB60}"/>
                    </c:ext>
                  </c:extLst>
                </c:dPt>
                <c:dPt>
                  <c:idx val="82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6F-E1EB-456A-BEBE-EF697796FB60}"/>
                    </c:ext>
                  </c:extLst>
                </c:dPt>
                <c:dPt>
                  <c:idx val="82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71-E1EB-456A-BEBE-EF697796FB60}"/>
                    </c:ext>
                  </c:extLst>
                </c:dPt>
                <c:dPt>
                  <c:idx val="82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73-E1EB-456A-BEBE-EF697796FB60}"/>
                    </c:ext>
                  </c:extLst>
                </c:dPt>
                <c:dPt>
                  <c:idx val="82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75-E1EB-456A-BEBE-EF697796FB60}"/>
                    </c:ext>
                  </c:extLst>
                </c:dPt>
                <c:dPt>
                  <c:idx val="82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77-E1EB-456A-BEBE-EF697796FB60}"/>
                    </c:ext>
                  </c:extLst>
                </c:dPt>
                <c:dPt>
                  <c:idx val="82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79-E1EB-456A-BEBE-EF697796FB60}"/>
                    </c:ext>
                  </c:extLst>
                </c:dPt>
                <c:dPt>
                  <c:idx val="82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7B-E1EB-456A-BEBE-EF697796FB60}"/>
                    </c:ext>
                  </c:extLst>
                </c:dPt>
                <c:dPt>
                  <c:idx val="82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7D-E1EB-456A-BEBE-EF697796FB60}"/>
                    </c:ext>
                  </c:extLst>
                </c:dPt>
                <c:dPt>
                  <c:idx val="83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7F-E1EB-456A-BEBE-EF697796FB60}"/>
                    </c:ext>
                  </c:extLst>
                </c:dPt>
                <c:dPt>
                  <c:idx val="83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81-E1EB-456A-BEBE-EF697796FB60}"/>
                    </c:ext>
                  </c:extLst>
                </c:dPt>
                <c:dPt>
                  <c:idx val="83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83-E1EB-456A-BEBE-EF697796FB60}"/>
                    </c:ext>
                  </c:extLst>
                </c:dPt>
                <c:dPt>
                  <c:idx val="83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85-E1EB-456A-BEBE-EF697796FB60}"/>
                    </c:ext>
                  </c:extLst>
                </c:dPt>
                <c:dPt>
                  <c:idx val="83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87-E1EB-456A-BEBE-EF697796FB60}"/>
                    </c:ext>
                  </c:extLst>
                </c:dPt>
                <c:dPt>
                  <c:idx val="83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89-E1EB-456A-BEBE-EF697796FB60}"/>
                    </c:ext>
                  </c:extLst>
                </c:dPt>
                <c:dPt>
                  <c:idx val="83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8B-E1EB-456A-BEBE-EF697796FB60}"/>
                    </c:ext>
                  </c:extLst>
                </c:dPt>
                <c:dPt>
                  <c:idx val="83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8D-E1EB-456A-BEBE-EF697796FB60}"/>
                    </c:ext>
                  </c:extLst>
                </c:dPt>
                <c:dPt>
                  <c:idx val="83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8F-E1EB-456A-BEBE-EF697796FB60}"/>
                    </c:ext>
                  </c:extLst>
                </c:dPt>
                <c:dPt>
                  <c:idx val="83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91-E1EB-456A-BEBE-EF697796FB60}"/>
                    </c:ext>
                  </c:extLst>
                </c:dPt>
                <c:dPt>
                  <c:idx val="84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93-E1EB-456A-BEBE-EF697796FB60}"/>
                    </c:ext>
                  </c:extLst>
                </c:dPt>
                <c:dPt>
                  <c:idx val="84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95-E1EB-456A-BEBE-EF697796FB60}"/>
                    </c:ext>
                  </c:extLst>
                </c:dPt>
                <c:dPt>
                  <c:idx val="84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97-E1EB-456A-BEBE-EF697796FB60}"/>
                    </c:ext>
                  </c:extLst>
                </c:dPt>
                <c:dPt>
                  <c:idx val="84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99-E1EB-456A-BEBE-EF697796FB60}"/>
                    </c:ext>
                  </c:extLst>
                </c:dPt>
                <c:dPt>
                  <c:idx val="84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9B-E1EB-456A-BEBE-EF697796FB60}"/>
                    </c:ext>
                  </c:extLst>
                </c:dPt>
                <c:dPt>
                  <c:idx val="84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9D-E1EB-456A-BEBE-EF697796FB60}"/>
                    </c:ext>
                  </c:extLst>
                </c:dPt>
                <c:dPt>
                  <c:idx val="84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9F-E1EB-456A-BEBE-EF697796FB60}"/>
                    </c:ext>
                  </c:extLst>
                </c:dPt>
                <c:dPt>
                  <c:idx val="84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A1-E1EB-456A-BEBE-EF697796FB60}"/>
                    </c:ext>
                  </c:extLst>
                </c:dPt>
                <c:dPt>
                  <c:idx val="84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A3-E1EB-456A-BEBE-EF697796FB60}"/>
                    </c:ext>
                  </c:extLst>
                </c:dPt>
                <c:dPt>
                  <c:idx val="84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A5-E1EB-456A-BEBE-EF697796FB60}"/>
                    </c:ext>
                  </c:extLst>
                </c:dPt>
                <c:dPt>
                  <c:idx val="85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A7-E1EB-456A-BEBE-EF697796FB60}"/>
                    </c:ext>
                  </c:extLst>
                </c:dPt>
                <c:dPt>
                  <c:idx val="85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A9-E1EB-456A-BEBE-EF697796FB60}"/>
                    </c:ext>
                  </c:extLst>
                </c:dPt>
                <c:dPt>
                  <c:idx val="85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AB-E1EB-456A-BEBE-EF697796FB60}"/>
                    </c:ext>
                  </c:extLst>
                </c:dPt>
                <c:dPt>
                  <c:idx val="85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AD-E1EB-456A-BEBE-EF697796FB60}"/>
                    </c:ext>
                  </c:extLst>
                </c:dPt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 cap="flat" cmpd="sng" algn="ctr">
                        <a:solidFill>
                          <a:schemeClr val="tx1">
                            <a:lumMod val="35000"/>
                            <a:lumOff val="65000"/>
                          </a:schemeClr>
                        </a:solidFill>
                        <a:round/>
                      </a:ln>
                      <a:effectLst/>
                    </c:spPr>
                  </c:leaderLines>
                  <c:extLst>
                    <c:ext uri="{CE6537A1-D6FC-4f65-9D91-7224C49458BB}"/>
                  </c:extLst>
                </c:dLbls>
                <c:cat>
                  <c:strRef>
                    <c:extLst>
                      <c:ext uri="{02D57815-91ED-43cb-92C2-25804820EDAC}">
                        <c15:formulaRef>
                          <c15:sqref>('Données '!$C$199,'Données '!$E$199,'Données '!$G$199,'Données '!$I$199,'Données '!$K$199,'Données '!$M$199,'Données '!$O$199)</c15:sqref>
                        </c15:formulaRef>
                      </c:ext>
                    </c:extLst>
                    <c:strCache>
                      <c:ptCount val="7"/>
                      <c:pt idx="0">
                        <c:v>ESQ ==&gt; APD</c:v>
                      </c:pt>
                      <c:pt idx="1">
                        <c:v>Fin études/AO</c:v>
                      </c:pt>
                      <c:pt idx="2">
                        <c:v>OS</c:v>
                      </c:pt>
                      <c:pt idx="3">
                        <c:v>Travaux</c:v>
                      </c:pt>
                      <c:pt idx="4">
                        <c:v>GPA</c:v>
                      </c:pt>
                      <c:pt idx="5">
                        <c:v>Clôture défisc</c:v>
                      </c:pt>
                      <c:pt idx="6">
                        <c:v>STOP</c:v>
                      </c:pt>
                    </c:strCache>
                  </c:strRef>
                </c:cat>
                <c:val>
                  <c:numRef>
                    <c:extLst>
                      <c:ext uri="{02D57815-91ED-43cb-92C2-25804820EDAC}">
                        <c15:formulaRef>
                          <c15:sqref>('Données '!$C$200,'Données '!$E$200,'Données '!$G$200,'Données '!$I$200,'Données '!$K$200,'Données '!$M$200,'Données '!$O$200)</c15:sqref>
                        </c15:formulaRef>
                      </c:ext>
                    </c:extLst>
                    <c:numCache>
                      <c:formatCode>General</c:formatCode>
                      <c:ptCount val="7"/>
                      <c:pt idx="0">
                        <c:v>2</c:v>
                      </c:pt>
                      <c:pt idx="1">
                        <c:v>3</c:v>
                      </c:pt>
                      <c:pt idx="2">
                        <c:v>0</c:v>
                      </c:pt>
                      <c:pt idx="3">
                        <c:v>2</c:v>
                      </c:pt>
                      <c:pt idx="4">
                        <c:v>2</c:v>
                      </c:pt>
                      <c:pt idx="5">
                        <c:v>0</c:v>
                      </c:pt>
                      <c:pt idx="6">
                        <c:v>0</c:v>
                      </c:pt>
                    </c:numCache>
                  </c:numRef>
                </c:val>
                <c:extLst>
                  <c:ext xmlns:c16="http://schemas.microsoft.com/office/drawing/2014/chart" uri="{C3380CC4-5D6E-409C-BE32-E72D297353CC}">
                    <c16:uniqueId val="{00000285-DB9F-452A-82DA-49E825A71C5F}"/>
                  </c:ext>
                </c:extLst>
              </c15:ser>
            </c15:filteredPieSeries>
            <c15:filteredPieSeries>
              <c15:ser>
                <c:idx val="1"/>
                <c:order val="1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'Données '!$B$201</c15:sqref>
                        </c15:formulaRef>
                      </c:ext>
                    </c:extLst>
                    <c:strCache>
                      <c:ptCount val="1"/>
                      <c:pt idx="0">
                        <c:v>DBA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65F-1115-4863-B690-D60CB1C70F91}"/>
                    </c:ext>
                  </c:extLst>
                </c:dPt>
                <c:dPt>
                  <c:idx val="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7F-DAB6-45DA-91D4-882BD746BCFB}"/>
                    </c:ext>
                  </c:extLst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65-5EDB-4BE8-B6CB-617A718FFB97}"/>
                    </c:ext>
                  </c:extLst>
                </c:dPt>
                <c:dPt>
                  <c:idx val="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47-DAF1-41D9-9DB1-A178C939277F}"/>
                    </c:ext>
                  </c:extLst>
                </c:dPt>
                <c:dPt>
                  <c:idx val="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69-5EDB-4BE8-B6CB-617A718FFB97}"/>
                    </c:ext>
                  </c:extLst>
                </c:dPt>
                <c:dPt>
                  <c:idx val="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29-1D13-485A-BA6F-2734FB277198}"/>
                    </c:ext>
                  </c:extLst>
                </c:dPt>
                <c:dPt>
                  <c:idx val="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6D-5EDB-4BE8-B6CB-617A718FFB97}"/>
                    </c:ext>
                  </c:extLst>
                </c:dPt>
                <c:dPt>
                  <c:idx val="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4B-DAF1-41D9-9DB1-A178C939277F}"/>
                    </c:ext>
                  </c:extLst>
                </c:dPt>
                <c:dPt>
                  <c:idx val="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71-5EDB-4BE8-B6CB-617A718FFB97}"/>
                    </c:ext>
                  </c:extLst>
                </c:dPt>
                <c:dPt>
                  <c:idx val="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E7-04ED-4AA9-BC50-D66038FCB951}"/>
                    </c:ext>
                  </c:extLst>
                </c:dPt>
                <c:dPt>
                  <c:idx val="1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75-5EDB-4BE8-B6CB-617A718FFB97}"/>
                    </c:ext>
                  </c:extLst>
                </c:dPt>
                <c:dPt>
                  <c:idx val="1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4F-DAF1-41D9-9DB1-A178C939277F}"/>
                    </c:ext>
                  </c:extLst>
                </c:dPt>
                <c:dPt>
                  <c:idx val="1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2D-1D13-485A-BA6F-2734FB277198}"/>
                    </c:ext>
                  </c:extLst>
                </c:dPt>
                <c:dPt>
                  <c:idx val="1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53-DAF1-41D9-9DB1-A178C939277F}"/>
                    </c:ext>
                  </c:extLst>
                </c:dPt>
                <c:dPt>
                  <c:idx val="1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81-DAB6-45DA-91D4-882BD746BCFB}"/>
                    </c:ext>
                  </c:extLst>
                </c:dPt>
                <c:dPt>
                  <c:idx val="1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57-DAF1-41D9-9DB1-A178C939277F}"/>
                    </c:ext>
                  </c:extLst>
                </c:dPt>
                <c:dPt>
                  <c:idx val="1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31-1D13-485A-BA6F-2734FB277198}"/>
                    </c:ext>
                  </c:extLst>
                </c:dPt>
                <c:dPt>
                  <c:idx val="1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EB-04ED-4AA9-BC50-D66038FCB951}"/>
                    </c:ext>
                  </c:extLst>
                </c:dPt>
                <c:dPt>
                  <c:idx val="1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35-1D13-485A-BA6F-2734FB277198}"/>
                    </c:ext>
                  </c:extLst>
                </c:dPt>
                <c:dPt>
                  <c:idx val="1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11-60BE-40C2-8D55-6632F2E349D0}"/>
                    </c:ext>
                  </c:extLst>
                </c:dPt>
                <c:dPt>
                  <c:idx val="2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39-1D13-485A-BA6F-2734FB277198}"/>
                    </c:ext>
                  </c:extLst>
                </c:dPt>
                <c:dPt>
                  <c:idx val="2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05-5544-4033-80F0-E894437B4A40}"/>
                    </c:ext>
                  </c:extLst>
                </c:dPt>
                <c:dPt>
                  <c:idx val="2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15-60BE-40C2-8D55-6632F2E349D0}"/>
                    </c:ext>
                  </c:extLst>
                </c:dPt>
                <c:dPt>
                  <c:idx val="2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F9-A86C-40C3-A162-230FDBCEA487}"/>
                    </c:ext>
                  </c:extLst>
                </c:dPt>
                <c:dPt>
                  <c:idx val="2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09-5544-4033-80F0-E894437B4A40}"/>
                    </c:ext>
                  </c:extLst>
                </c:dPt>
                <c:dPt>
                  <c:idx val="2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9B-B056-42B7-88DE-80749CFCCB2D}"/>
                    </c:ext>
                  </c:extLst>
                </c:dPt>
                <c:dPt>
                  <c:idx val="2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FD-A86C-40C3-A162-230FDBCEA487}"/>
                    </c:ext>
                  </c:extLst>
                </c:dPt>
                <c:dPt>
                  <c:idx val="2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EF-04ED-4AA9-BC50-D66038FCB951}"/>
                    </c:ext>
                  </c:extLst>
                </c:dPt>
                <c:dPt>
                  <c:idx val="2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83-DAB6-45DA-91D4-882BD746BCFB}"/>
                    </c:ext>
                  </c:extLst>
                </c:dPt>
                <c:dPt>
                  <c:idx val="2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F3-04ED-4AA9-BC50-D66038FCB951}"/>
                    </c:ext>
                  </c:extLst>
                </c:dPt>
                <c:dPt>
                  <c:idx val="3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CF-A820-4364-A7E1-C676310E0661}"/>
                    </c:ext>
                  </c:extLst>
                </c:dPt>
                <c:dPt>
                  <c:idx val="3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F7-04ED-4AA9-BC50-D66038FCB951}"/>
                    </c:ext>
                  </c:extLst>
                </c:dPt>
                <c:dPt>
                  <c:idx val="3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C3-347F-48E4-BBCB-0EE59E974D1D}"/>
                    </c:ext>
                  </c:extLst>
                </c:dPt>
                <c:dPt>
                  <c:idx val="3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D3-A820-4364-A7E1-C676310E0661}"/>
                    </c:ext>
                  </c:extLst>
                </c:dPt>
                <c:dPt>
                  <c:idx val="3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B7-CA5B-4529-960D-90148F46BA02}"/>
                    </c:ext>
                  </c:extLst>
                </c:dPt>
                <c:dPt>
                  <c:idx val="3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C7-347F-48E4-BBCB-0EE59E974D1D}"/>
                    </c:ext>
                  </c:extLst>
                </c:dPt>
                <c:dPt>
                  <c:idx val="3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AB-22F6-405D-A58F-94551EB1A83D}"/>
                    </c:ext>
                  </c:extLst>
                </c:dPt>
                <c:dPt>
                  <c:idx val="3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BB-CA5B-4529-960D-90148F46BA02}"/>
                    </c:ext>
                  </c:extLst>
                </c:dPt>
                <c:dPt>
                  <c:idx val="3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9F-B056-42B7-88DE-80749CFCCB2D}"/>
                    </c:ext>
                  </c:extLst>
                </c:dPt>
                <c:dPt>
                  <c:idx val="3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AF-22F6-405D-A58F-94551EB1A83D}"/>
                    </c:ext>
                  </c:extLst>
                </c:dPt>
                <c:dPt>
                  <c:idx val="4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85-DAB6-45DA-91D4-882BD746BCFB}"/>
                    </c:ext>
                  </c:extLst>
                </c:dPt>
                <c:dPt>
                  <c:idx val="4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A3-B056-42B7-88DE-80749CFCCB2D}"/>
                    </c:ext>
                  </c:extLst>
                </c:dPt>
                <c:dPt>
                  <c:idx val="4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87-DAB6-45DA-91D4-882BD746BCFB}"/>
                    </c:ext>
                  </c:extLst>
                </c:dPt>
                <c:dPt>
                  <c:idx val="4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A7-B056-42B7-88DE-80749CFCCB2D}"/>
                    </c:ext>
                  </c:extLst>
                </c:dPt>
                <c:dPt>
                  <c:idx val="4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67-596B-4D92-9954-301040E220ED}"/>
                    </c:ext>
                  </c:extLst>
                </c:dPt>
                <c:dPt>
                  <c:idx val="4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6F-68AF-4A70-B683-C4D0C1441A52}"/>
                    </c:ext>
                  </c:extLst>
                </c:dPt>
                <c:dPt>
                  <c:idx val="4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63-2141-4CAD-8321-B92A7034E6C6}"/>
                    </c:ext>
                  </c:extLst>
                </c:dPt>
                <c:dPt>
                  <c:idx val="4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6B-596B-4D92-9954-301040E220ED}"/>
                    </c:ext>
                  </c:extLst>
                </c:dPt>
                <c:dPt>
                  <c:idx val="4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4F-59B7-4954-977F-FA691076C96E}"/>
                    </c:ext>
                  </c:extLst>
                </c:dPt>
                <c:dPt>
                  <c:idx val="4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67-2141-4CAD-8321-B92A7034E6C6}"/>
                    </c:ext>
                  </c:extLst>
                </c:dPt>
                <c:dPt>
                  <c:idx val="5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5B-6E46-49EC-894E-39393BA39F32}"/>
                    </c:ext>
                  </c:extLst>
                </c:dPt>
                <c:dPt>
                  <c:idx val="5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6B-2141-4CAD-8321-B92A7034E6C6}"/>
                    </c:ext>
                  </c:extLst>
                </c:dPt>
                <c:dPt>
                  <c:idx val="5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47-5597-45E1-A31B-D524361EF8E8}"/>
                    </c:ext>
                  </c:extLst>
                </c:dPt>
                <c:dPt>
                  <c:idx val="5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5F-6E46-49EC-894E-39393BA39F32}"/>
                    </c:ext>
                  </c:extLst>
                </c:dPt>
                <c:dPt>
                  <c:idx val="5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53-59B7-4954-977F-FA691076C96E}"/>
                    </c:ext>
                  </c:extLst>
                </c:dPt>
                <c:dPt>
                  <c:idx val="5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63-6E46-49EC-894E-39393BA39F32}"/>
                    </c:ext>
                  </c:extLst>
                </c:dPt>
                <c:dPt>
                  <c:idx val="5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3F-CC2F-4B13-B669-E8947D387CAC}"/>
                    </c:ext>
                  </c:extLst>
                </c:dPt>
                <c:dPt>
                  <c:idx val="5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57-59B7-4954-977F-FA691076C96E}"/>
                    </c:ext>
                  </c:extLst>
                </c:dPt>
                <c:dPt>
                  <c:idx val="5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4B-5597-45E1-A31B-D524361EF8E8}"/>
                    </c:ext>
                  </c:extLst>
                </c:dPt>
                <c:dPt>
                  <c:idx val="5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5B-59B7-4954-977F-FA691076C96E}"/>
                    </c:ext>
                  </c:extLst>
                </c:dPt>
                <c:dPt>
                  <c:idx val="6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37-23E5-487F-B5FC-486D3B6F33AD}"/>
                    </c:ext>
                  </c:extLst>
                </c:dPt>
                <c:dPt>
                  <c:idx val="6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4F-5597-45E1-A31B-D524361EF8E8}"/>
                    </c:ext>
                  </c:extLst>
                </c:dPt>
                <c:dPt>
                  <c:idx val="6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43-CC2F-4B13-B669-E8947D387CAC}"/>
                    </c:ext>
                  </c:extLst>
                </c:dPt>
                <c:dPt>
                  <c:idx val="6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53-5597-45E1-A31B-D524361EF8E8}"/>
                    </c:ext>
                  </c:extLst>
                </c:dPt>
                <c:dPt>
                  <c:idx val="6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23-C9B8-4D8E-BB56-5E3C88048355}"/>
                    </c:ext>
                  </c:extLst>
                </c:dPt>
                <c:dPt>
                  <c:idx val="6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47-CC2F-4B13-B669-E8947D387CAC}"/>
                    </c:ext>
                  </c:extLst>
                </c:dPt>
                <c:dPt>
                  <c:idx val="6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3B-23E5-487F-B5FC-486D3B6F33AD}"/>
                    </c:ext>
                  </c:extLst>
                </c:dPt>
                <c:dPt>
                  <c:idx val="6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4B-CC2F-4B13-B669-E8947D387CAC}"/>
                    </c:ext>
                  </c:extLst>
                </c:dPt>
                <c:dPt>
                  <c:idx val="6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31-7E19-43B5-AFD0-AA8159069CAE}"/>
                    </c:ext>
                  </c:extLst>
                </c:dPt>
                <c:dPt>
                  <c:idx val="6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3F-23E5-487F-B5FC-486D3B6F33AD}"/>
                    </c:ext>
                  </c:extLst>
                </c:dPt>
                <c:dPt>
                  <c:idx val="7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0D-AB76-4C01-B0E9-A19E035A66C4}"/>
                    </c:ext>
                  </c:extLst>
                </c:dPt>
                <c:dPt>
                  <c:idx val="7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43-23E5-487F-B5FC-486D3B6F33AD}"/>
                    </c:ext>
                  </c:extLst>
                </c:dPt>
                <c:dPt>
                  <c:idx val="7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35-7E19-43B5-AFD0-AA8159069CAE}"/>
                    </c:ext>
                  </c:extLst>
                </c:dPt>
                <c:dPt>
                  <c:idx val="7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27-C9B8-4D8E-BB56-5E3C88048355}"/>
                    </c:ext>
                  </c:extLst>
                </c:dPt>
                <c:dPt>
                  <c:idx val="7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39-7E19-43B5-AFD0-AA8159069CAE}"/>
                    </c:ext>
                  </c:extLst>
                </c:dPt>
                <c:dPt>
                  <c:idx val="7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FF-F87F-4084-9D74-26F54D9DCDC8}"/>
                    </c:ext>
                  </c:extLst>
                </c:dPt>
                <c:dPt>
                  <c:idx val="7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3D-7E19-43B5-AFD0-AA8159069CAE}"/>
                    </c:ext>
                  </c:extLst>
                </c:dPt>
                <c:dPt>
                  <c:idx val="7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2B-C9B8-4D8E-BB56-5E3C88048355}"/>
                    </c:ext>
                  </c:extLst>
                </c:dPt>
                <c:dPt>
                  <c:idx val="7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11-AB76-4C01-B0E9-A19E035A66C4}"/>
                    </c:ext>
                  </c:extLst>
                </c:dPt>
                <c:dPt>
                  <c:idx val="7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2F-C9B8-4D8E-BB56-5E3C88048355}"/>
                    </c:ext>
                  </c:extLst>
                </c:dPt>
                <c:dPt>
                  <c:idx val="8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1F-3B3F-4C0F-9836-96B52C253EE0}"/>
                    </c:ext>
                  </c:extLst>
                </c:dPt>
                <c:dPt>
                  <c:idx val="8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33-C9B8-4D8E-BB56-5E3C88048355}"/>
                    </c:ext>
                  </c:extLst>
                </c:dPt>
                <c:dPt>
                  <c:idx val="8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1B-98AC-40BA-9E50-0D29417390DE}"/>
                    </c:ext>
                  </c:extLst>
                </c:dPt>
                <c:dPt>
                  <c:idx val="8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23-3B3F-4C0F-9836-96B52C253EE0}"/>
                    </c:ext>
                  </c:extLst>
                </c:dPt>
                <c:dPt>
                  <c:idx val="8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17-517B-4D48-8CAD-2056264369A5}"/>
                    </c:ext>
                  </c:extLst>
                </c:dPt>
                <c:dPt>
                  <c:idx val="8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1F-98AC-40BA-9E50-0D29417390DE}"/>
                    </c:ext>
                  </c:extLst>
                </c:dPt>
                <c:dPt>
                  <c:idx val="8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B3-E1EB-456A-BEBE-EF697796FB60}"/>
                    </c:ext>
                  </c:extLst>
                </c:dPt>
                <c:dPt>
                  <c:idx val="8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1B-517B-4D48-8CAD-2056264369A5}"/>
                    </c:ext>
                  </c:extLst>
                </c:dPt>
                <c:dPt>
                  <c:idx val="8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15-AB76-4C01-B0E9-A19E035A66C4}"/>
                    </c:ext>
                  </c:extLst>
                </c:dPt>
                <c:dPt>
                  <c:idx val="8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03-F87F-4084-9D74-26F54D9DCDC8}"/>
                    </c:ext>
                  </c:extLst>
                </c:dPt>
                <c:dPt>
                  <c:idx val="9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19-AB76-4C01-B0E9-A19E035A66C4}"/>
                    </c:ext>
                  </c:extLst>
                </c:dPt>
                <c:dPt>
                  <c:idx val="9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09-A4AA-4F75-BAEF-2070A4AEC42C}"/>
                    </c:ext>
                  </c:extLst>
                </c:dPt>
                <c:dPt>
                  <c:idx val="9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1D-AB76-4C01-B0E9-A19E035A66C4}"/>
                    </c:ext>
                  </c:extLst>
                </c:dPt>
                <c:dPt>
                  <c:idx val="9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F7-DBCB-40F3-AAE3-A7FE123E6F99}"/>
                    </c:ext>
                  </c:extLst>
                </c:dPt>
                <c:dPt>
                  <c:idx val="9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0D-A4AA-4F75-BAEF-2070A4AEC42C}"/>
                    </c:ext>
                  </c:extLst>
                </c:dPt>
                <c:dPt>
                  <c:idx val="9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07-F87F-4084-9D74-26F54D9DCDC8}"/>
                    </c:ext>
                  </c:extLst>
                </c:dPt>
                <c:dPt>
                  <c:idx val="9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F9-DBCB-40F3-AAE3-A7FE123E6F99}"/>
                    </c:ext>
                  </c:extLst>
                </c:dPt>
                <c:dPt>
                  <c:idx val="9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0B-F87F-4084-9D74-26F54D9DCDC8}"/>
                    </c:ext>
                  </c:extLst>
                </c:dPt>
                <c:dPt>
                  <c:idx val="9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FB-DBCB-40F3-AAE3-A7FE123E6F99}"/>
                    </c:ext>
                  </c:extLst>
                </c:dPt>
                <c:dPt>
                  <c:idx val="9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0F-F87F-4084-9D74-26F54D9DCDC8}"/>
                    </c:ext>
                  </c:extLst>
                </c:dPt>
                <c:dPt>
                  <c:idx val="10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F7-13FB-448F-AF5B-C2B348685C35}"/>
                    </c:ext>
                  </c:extLst>
                </c:dPt>
                <c:dPt>
                  <c:idx val="10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FF-DBCB-40F3-AAE3-A7FE123E6F99}"/>
                    </c:ext>
                  </c:extLst>
                </c:dPt>
                <c:dPt>
                  <c:idx val="10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F3-A92A-4A17-B06C-67702BFFE346}"/>
                    </c:ext>
                  </c:extLst>
                </c:dPt>
                <c:dPt>
                  <c:idx val="10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FB-13FB-448F-AF5B-C2B348685C35}"/>
                    </c:ext>
                  </c:extLst>
                </c:dPt>
                <c:dPt>
                  <c:idx val="10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EF-8EF1-442F-839B-C60B34E428DD}"/>
                    </c:ext>
                  </c:extLst>
                </c:dPt>
                <c:dPt>
                  <c:idx val="10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F7-A92A-4A17-B06C-67702BFFE346}"/>
                    </c:ext>
                  </c:extLst>
                </c:dPt>
                <c:dPt>
                  <c:idx val="10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EB-4CA5-42DA-BA81-20CB7E934741}"/>
                    </c:ext>
                  </c:extLst>
                </c:dPt>
                <c:dPt>
                  <c:idx val="10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F3-8EF1-442F-839B-C60B34E428DD}"/>
                    </c:ext>
                  </c:extLst>
                </c:dPt>
                <c:dPt>
                  <c:idx val="10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E7-9CAE-4E2A-A7F6-AF1D53AB3760}"/>
                    </c:ext>
                  </c:extLst>
                </c:dPt>
                <c:dPt>
                  <c:idx val="10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EF-4CA5-42DA-BA81-20CB7E934741}"/>
                    </c:ext>
                  </c:extLst>
                </c:dPt>
                <c:dPt>
                  <c:idx val="11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E3-EB9E-43AE-8257-EBF97BE94AB2}"/>
                    </c:ext>
                  </c:extLst>
                </c:dPt>
                <c:dPt>
                  <c:idx val="11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EB-9CAE-4E2A-A7F6-AF1D53AB3760}"/>
                    </c:ext>
                  </c:extLst>
                </c:dPt>
                <c:dPt>
                  <c:idx val="11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DF-2D1E-4B95-BA8A-55C2EB21D0B5}"/>
                    </c:ext>
                  </c:extLst>
                </c:dPt>
                <c:dPt>
                  <c:idx val="11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E7-EB9E-43AE-8257-EBF97BE94AB2}"/>
                    </c:ext>
                  </c:extLst>
                </c:dPt>
                <c:dPt>
                  <c:idx val="11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DB-437E-4019-BCA3-0E44F50CDF0E}"/>
                    </c:ext>
                  </c:extLst>
                </c:dPt>
                <c:dPt>
                  <c:idx val="11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E3-2D1E-4B95-BA8A-55C2EB21D0B5}"/>
                    </c:ext>
                  </c:extLst>
                </c:dPt>
                <c:dPt>
                  <c:idx val="11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B5-E1EB-456A-BEBE-EF697796FB60}"/>
                    </c:ext>
                  </c:extLst>
                </c:dPt>
                <c:dPt>
                  <c:idx val="11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DF-437E-4019-BCA3-0E44F50CDF0E}"/>
                    </c:ext>
                  </c:extLst>
                </c:dPt>
                <c:dPt>
                  <c:idx val="11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D3-59A0-40C0-AD98-10F8257B2D31}"/>
                    </c:ext>
                  </c:extLst>
                </c:dPt>
                <c:dPt>
                  <c:idx val="11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E3-437E-4019-BCA3-0E44F50CDF0E}"/>
                    </c:ext>
                  </c:extLst>
                </c:dPt>
                <c:dPt>
                  <c:idx val="12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C9-0974-456E-BCB0-67A94FCED641}"/>
                    </c:ext>
                  </c:extLst>
                </c:dPt>
                <c:dPt>
                  <c:idx val="12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D7-59A0-40C0-AD98-10F8257B2D31}"/>
                    </c:ext>
                  </c:extLst>
                </c:dPt>
                <c:dPt>
                  <c:idx val="12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B7-E1EB-456A-BEBE-EF697796FB60}"/>
                    </c:ext>
                  </c:extLst>
                </c:dPt>
                <c:dPt>
                  <c:idx val="12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DB-59A0-40C0-AD98-10F8257B2D31}"/>
                    </c:ext>
                  </c:extLst>
                </c:dPt>
                <c:dPt>
                  <c:idx val="12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CD-0974-456E-BCB0-67A94FCED641}"/>
                    </c:ext>
                  </c:extLst>
                </c:dPt>
                <c:dPt>
                  <c:idx val="12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C5-56D1-4B49-8296-DC493F75A797}"/>
                    </c:ext>
                  </c:extLst>
                </c:dPt>
                <c:dPt>
                  <c:idx val="12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D1-0974-456E-BCB0-67A94FCED641}"/>
                    </c:ext>
                  </c:extLst>
                </c:dPt>
                <c:dPt>
                  <c:idx val="12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C1-A1EF-4F42-976F-AFFE4AC901E9}"/>
                    </c:ext>
                  </c:extLst>
                </c:dPt>
                <c:dPt>
                  <c:idx val="12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C9-56D1-4B49-8296-DC493F75A797}"/>
                    </c:ext>
                  </c:extLst>
                </c:dPt>
                <c:dPt>
                  <c:idx val="12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BD-EFE7-4A98-8625-4B8E9E30DD15}"/>
                    </c:ext>
                  </c:extLst>
                </c:dPt>
                <c:dPt>
                  <c:idx val="13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C5-A1EF-4F42-976F-AFFE4AC901E9}"/>
                    </c:ext>
                  </c:extLst>
                </c:dPt>
                <c:dPt>
                  <c:idx val="13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B9-E1EB-456A-BEBE-EF697796FB60}"/>
                    </c:ext>
                  </c:extLst>
                </c:dPt>
                <c:dPt>
                  <c:idx val="13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C1-EFE7-4A98-8625-4B8E9E30DD15}"/>
                    </c:ext>
                  </c:extLst>
                </c:dPt>
                <c:dPt>
                  <c:idx val="13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BB-E1EB-456A-BEBE-EF697796FB60}"/>
                    </c:ext>
                  </c:extLst>
                </c:dPt>
                <c:dPt>
                  <c:idx val="13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BD-E1EB-456A-BEBE-EF697796FB60}"/>
                    </c:ext>
                  </c:extLst>
                </c:dPt>
                <c:dPt>
                  <c:idx val="13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BF-E1EB-456A-BEBE-EF697796FB60}"/>
                    </c:ext>
                  </c:extLst>
                </c:dPt>
                <c:dPt>
                  <c:idx val="13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C1-E1EB-456A-BEBE-EF697796FB60}"/>
                    </c:ext>
                  </c:extLst>
                </c:dPt>
                <c:dPt>
                  <c:idx val="13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C3-E1EB-456A-BEBE-EF697796FB60}"/>
                    </c:ext>
                  </c:extLst>
                </c:dPt>
                <c:dPt>
                  <c:idx val="13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C5-E1EB-456A-BEBE-EF697796FB60}"/>
                    </c:ext>
                  </c:extLst>
                </c:dPt>
                <c:dPt>
                  <c:idx val="13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C7-E1EB-456A-BEBE-EF697796FB60}"/>
                    </c:ext>
                  </c:extLst>
                </c:dPt>
                <c:dPt>
                  <c:idx val="14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C9-E1EB-456A-BEBE-EF697796FB60}"/>
                    </c:ext>
                  </c:extLst>
                </c:dPt>
                <c:dPt>
                  <c:idx val="14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CB-E1EB-456A-BEBE-EF697796FB60}"/>
                    </c:ext>
                  </c:extLst>
                </c:dPt>
                <c:dPt>
                  <c:idx val="14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CD-E1EB-456A-BEBE-EF697796FB60}"/>
                    </c:ext>
                  </c:extLst>
                </c:dPt>
                <c:dPt>
                  <c:idx val="14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CF-E1EB-456A-BEBE-EF697796FB60}"/>
                    </c:ext>
                  </c:extLst>
                </c:dPt>
                <c:dPt>
                  <c:idx val="14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D1-E1EB-456A-BEBE-EF697796FB60}"/>
                    </c:ext>
                  </c:extLst>
                </c:dPt>
                <c:dPt>
                  <c:idx val="14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D3-E1EB-456A-BEBE-EF697796FB60}"/>
                    </c:ext>
                  </c:extLst>
                </c:dPt>
                <c:dPt>
                  <c:idx val="14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D5-E1EB-456A-BEBE-EF697796FB60}"/>
                    </c:ext>
                  </c:extLst>
                </c:dPt>
                <c:dPt>
                  <c:idx val="14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D7-E1EB-456A-BEBE-EF697796FB60}"/>
                    </c:ext>
                  </c:extLst>
                </c:dPt>
                <c:dPt>
                  <c:idx val="14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D9-E1EB-456A-BEBE-EF697796FB60}"/>
                    </c:ext>
                  </c:extLst>
                </c:dPt>
                <c:dPt>
                  <c:idx val="14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DB-E1EB-456A-BEBE-EF697796FB60}"/>
                    </c:ext>
                  </c:extLst>
                </c:dPt>
                <c:dPt>
                  <c:idx val="15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DD-E1EB-456A-BEBE-EF697796FB60}"/>
                    </c:ext>
                  </c:extLst>
                </c:dPt>
                <c:dPt>
                  <c:idx val="15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DF-E1EB-456A-BEBE-EF697796FB60}"/>
                    </c:ext>
                  </c:extLst>
                </c:dPt>
                <c:dPt>
                  <c:idx val="15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E1-E1EB-456A-BEBE-EF697796FB60}"/>
                    </c:ext>
                  </c:extLst>
                </c:dPt>
                <c:dPt>
                  <c:idx val="15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E3-E1EB-456A-BEBE-EF697796FB60}"/>
                    </c:ext>
                  </c:extLst>
                </c:dPt>
                <c:dPt>
                  <c:idx val="15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E5-E1EB-456A-BEBE-EF697796FB60}"/>
                    </c:ext>
                  </c:extLst>
                </c:dPt>
                <c:dPt>
                  <c:idx val="15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E7-E1EB-456A-BEBE-EF697796FB60}"/>
                    </c:ext>
                  </c:extLst>
                </c:dPt>
                <c:dPt>
                  <c:idx val="15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E9-E1EB-456A-BEBE-EF697796FB60}"/>
                    </c:ext>
                  </c:extLst>
                </c:dPt>
                <c:dPt>
                  <c:idx val="15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EB-E1EB-456A-BEBE-EF697796FB60}"/>
                    </c:ext>
                  </c:extLst>
                </c:dPt>
                <c:dPt>
                  <c:idx val="15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ED-E1EB-456A-BEBE-EF697796FB60}"/>
                    </c:ext>
                  </c:extLst>
                </c:dPt>
                <c:dPt>
                  <c:idx val="15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EF-E1EB-456A-BEBE-EF697796FB60}"/>
                    </c:ext>
                  </c:extLst>
                </c:dPt>
                <c:dPt>
                  <c:idx val="16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F1-E1EB-456A-BEBE-EF697796FB60}"/>
                    </c:ext>
                  </c:extLst>
                </c:dPt>
                <c:dPt>
                  <c:idx val="16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F3-E1EB-456A-BEBE-EF697796FB60}"/>
                    </c:ext>
                  </c:extLst>
                </c:dPt>
                <c:dPt>
                  <c:idx val="16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F5-E1EB-456A-BEBE-EF697796FB60}"/>
                    </c:ext>
                  </c:extLst>
                </c:dPt>
                <c:dPt>
                  <c:idx val="16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F7-E1EB-456A-BEBE-EF697796FB60}"/>
                    </c:ext>
                  </c:extLst>
                </c:dPt>
                <c:dPt>
                  <c:idx val="16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F9-E1EB-456A-BEBE-EF697796FB60}"/>
                    </c:ext>
                  </c:extLst>
                </c:dPt>
                <c:dPt>
                  <c:idx val="16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FB-E1EB-456A-BEBE-EF697796FB60}"/>
                    </c:ext>
                  </c:extLst>
                </c:dPt>
                <c:dPt>
                  <c:idx val="16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FD-E1EB-456A-BEBE-EF697796FB60}"/>
                    </c:ext>
                  </c:extLst>
                </c:dPt>
                <c:dPt>
                  <c:idx val="16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FF-E1EB-456A-BEBE-EF697796FB60}"/>
                    </c:ext>
                  </c:extLst>
                </c:dPt>
                <c:dPt>
                  <c:idx val="16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01-E1EB-456A-BEBE-EF697796FB60}"/>
                    </c:ext>
                  </c:extLst>
                </c:dPt>
                <c:dPt>
                  <c:idx val="16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03-E1EB-456A-BEBE-EF697796FB60}"/>
                    </c:ext>
                  </c:extLst>
                </c:dPt>
                <c:dPt>
                  <c:idx val="17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05-E1EB-456A-BEBE-EF697796FB60}"/>
                    </c:ext>
                  </c:extLst>
                </c:dPt>
                <c:dPt>
                  <c:idx val="17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07-E1EB-456A-BEBE-EF697796FB60}"/>
                    </c:ext>
                  </c:extLst>
                </c:dPt>
                <c:dPt>
                  <c:idx val="17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09-E1EB-456A-BEBE-EF697796FB60}"/>
                    </c:ext>
                  </c:extLst>
                </c:dPt>
                <c:dPt>
                  <c:idx val="17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0B-E1EB-456A-BEBE-EF697796FB60}"/>
                    </c:ext>
                  </c:extLst>
                </c:dPt>
                <c:dPt>
                  <c:idx val="17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0D-E1EB-456A-BEBE-EF697796FB60}"/>
                    </c:ext>
                  </c:extLst>
                </c:dPt>
                <c:dPt>
                  <c:idx val="17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0F-E1EB-456A-BEBE-EF697796FB60}"/>
                    </c:ext>
                  </c:extLst>
                </c:dPt>
                <c:dPt>
                  <c:idx val="17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11-E1EB-456A-BEBE-EF697796FB60}"/>
                    </c:ext>
                  </c:extLst>
                </c:dPt>
                <c:dPt>
                  <c:idx val="17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13-E1EB-456A-BEBE-EF697796FB60}"/>
                    </c:ext>
                  </c:extLst>
                </c:dPt>
                <c:dPt>
                  <c:idx val="17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15-E1EB-456A-BEBE-EF697796FB60}"/>
                    </c:ext>
                  </c:extLst>
                </c:dPt>
                <c:dPt>
                  <c:idx val="17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17-E1EB-456A-BEBE-EF697796FB60}"/>
                    </c:ext>
                  </c:extLst>
                </c:dPt>
                <c:dPt>
                  <c:idx val="18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19-E1EB-456A-BEBE-EF697796FB60}"/>
                    </c:ext>
                  </c:extLst>
                </c:dPt>
                <c:dPt>
                  <c:idx val="18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1B-E1EB-456A-BEBE-EF697796FB60}"/>
                    </c:ext>
                  </c:extLst>
                </c:dPt>
                <c:dPt>
                  <c:idx val="18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1D-E1EB-456A-BEBE-EF697796FB60}"/>
                    </c:ext>
                  </c:extLst>
                </c:dPt>
                <c:dPt>
                  <c:idx val="18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1F-E1EB-456A-BEBE-EF697796FB60}"/>
                    </c:ext>
                  </c:extLst>
                </c:dPt>
                <c:dPt>
                  <c:idx val="18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21-E1EB-456A-BEBE-EF697796FB60}"/>
                    </c:ext>
                  </c:extLst>
                </c:dPt>
                <c:dPt>
                  <c:idx val="18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23-E1EB-456A-BEBE-EF697796FB60}"/>
                    </c:ext>
                  </c:extLst>
                </c:dPt>
                <c:dPt>
                  <c:idx val="18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25-E1EB-456A-BEBE-EF697796FB60}"/>
                    </c:ext>
                  </c:extLst>
                </c:dPt>
                <c:dPt>
                  <c:idx val="18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27-E1EB-456A-BEBE-EF697796FB60}"/>
                    </c:ext>
                  </c:extLst>
                </c:dPt>
                <c:dPt>
                  <c:idx val="18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29-E1EB-456A-BEBE-EF697796FB60}"/>
                    </c:ext>
                  </c:extLst>
                </c:dPt>
                <c:dPt>
                  <c:idx val="18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2B-E1EB-456A-BEBE-EF697796FB60}"/>
                    </c:ext>
                  </c:extLst>
                </c:dPt>
                <c:dPt>
                  <c:idx val="19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2D-E1EB-456A-BEBE-EF697796FB60}"/>
                    </c:ext>
                  </c:extLst>
                </c:dPt>
                <c:dPt>
                  <c:idx val="19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2F-E1EB-456A-BEBE-EF697796FB60}"/>
                    </c:ext>
                  </c:extLst>
                </c:dPt>
                <c:dPt>
                  <c:idx val="19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31-E1EB-456A-BEBE-EF697796FB60}"/>
                    </c:ext>
                  </c:extLst>
                </c:dPt>
                <c:dPt>
                  <c:idx val="19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33-E1EB-456A-BEBE-EF697796FB60}"/>
                    </c:ext>
                  </c:extLst>
                </c:dPt>
                <c:dPt>
                  <c:idx val="19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35-E1EB-456A-BEBE-EF697796FB60}"/>
                    </c:ext>
                  </c:extLst>
                </c:dPt>
                <c:dPt>
                  <c:idx val="19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37-E1EB-456A-BEBE-EF697796FB60}"/>
                    </c:ext>
                  </c:extLst>
                </c:dPt>
                <c:dPt>
                  <c:idx val="19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39-E1EB-456A-BEBE-EF697796FB60}"/>
                    </c:ext>
                  </c:extLst>
                </c:dPt>
                <c:dPt>
                  <c:idx val="19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3B-E1EB-456A-BEBE-EF697796FB60}"/>
                    </c:ext>
                  </c:extLst>
                </c:dPt>
                <c:dPt>
                  <c:idx val="19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3D-E1EB-456A-BEBE-EF697796FB60}"/>
                    </c:ext>
                  </c:extLst>
                </c:dPt>
                <c:dPt>
                  <c:idx val="19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3F-E1EB-456A-BEBE-EF697796FB60}"/>
                    </c:ext>
                  </c:extLst>
                </c:dPt>
                <c:dPt>
                  <c:idx val="20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41-E1EB-456A-BEBE-EF697796FB60}"/>
                    </c:ext>
                  </c:extLst>
                </c:dPt>
                <c:dPt>
                  <c:idx val="20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43-E1EB-456A-BEBE-EF697796FB60}"/>
                    </c:ext>
                  </c:extLst>
                </c:dPt>
                <c:dPt>
                  <c:idx val="20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45-E1EB-456A-BEBE-EF697796FB60}"/>
                    </c:ext>
                  </c:extLst>
                </c:dPt>
                <c:dPt>
                  <c:idx val="20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47-E1EB-456A-BEBE-EF697796FB60}"/>
                    </c:ext>
                  </c:extLst>
                </c:dPt>
                <c:dPt>
                  <c:idx val="20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49-E1EB-456A-BEBE-EF697796FB60}"/>
                    </c:ext>
                  </c:extLst>
                </c:dPt>
                <c:dPt>
                  <c:idx val="20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4B-E1EB-456A-BEBE-EF697796FB60}"/>
                    </c:ext>
                  </c:extLst>
                </c:dPt>
                <c:dPt>
                  <c:idx val="20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4D-E1EB-456A-BEBE-EF697796FB60}"/>
                    </c:ext>
                  </c:extLst>
                </c:dPt>
                <c:dPt>
                  <c:idx val="20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4F-E1EB-456A-BEBE-EF697796FB60}"/>
                    </c:ext>
                  </c:extLst>
                </c:dPt>
                <c:dPt>
                  <c:idx val="20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51-E1EB-456A-BEBE-EF697796FB60}"/>
                    </c:ext>
                  </c:extLst>
                </c:dPt>
                <c:dPt>
                  <c:idx val="20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53-E1EB-456A-BEBE-EF697796FB60}"/>
                    </c:ext>
                  </c:extLst>
                </c:dPt>
                <c:dPt>
                  <c:idx val="21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55-E1EB-456A-BEBE-EF697796FB60}"/>
                    </c:ext>
                  </c:extLst>
                </c:dPt>
                <c:dPt>
                  <c:idx val="21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57-E1EB-456A-BEBE-EF697796FB60}"/>
                    </c:ext>
                  </c:extLst>
                </c:dPt>
                <c:dPt>
                  <c:idx val="21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59-E1EB-456A-BEBE-EF697796FB60}"/>
                    </c:ext>
                  </c:extLst>
                </c:dPt>
                <c:dPt>
                  <c:idx val="21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5B-E1EB-456A-BEBE-EF697796FB60}"/>
                    </c:ext>
                  </c:extLst>
                </c:dPt>
                <c:dPt>
                  <c:idx val="21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5D-E1EB-456A-BEBE-EF697796FB60}"/>
                    </c:ext>
                  </c:extLst>
                </c:dPt>
                <c:dPt>
                  <c:idx val="21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5F-E1EB-456A-BEBE-EF697796FB60}"/>
                    </c:ext>
                  </c:extLst>
                </c:dPt>
                <c:dPt>
                  <c:idx val="21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61-E1EB-456A-BEBE-EF697796FB60}"/>
                    </c:ext>
                  </c:extLst>
                </c:dPt>
                <c:dPt>
                  <c:idx val="21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63-E1EB-456A-BEBE-EF697796FB60}"/>
                    </c:ext>
                  </c:extLst>
                </c:dPt>
                <c:dPt>
                  <c:idx val="21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65-E1EB-456A-BEBE-EF697796FB60}"/>
                    </c:ext>
                  </c:extLst>
                </c:dPt>
                <c:dPt>
                  <c:idx val="21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67-E1EB-456A-BEBE-EF697796FB60}"/>
                    </c:ext>
                  </c:extLst>
                </c:dPt>
                <c:dPt>
                  <c:idx val="22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69-E1EB-456A-BEBE-EF697796FB60}"/>
                    </c:ext>
                  </c:extLst>
                </c:dPt>
                <c:dPt>
                  <c:idx val="22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6B-E1EB-456A-BEBE-EF697796FB60}"/>
                    </c:ext>
                  </c:extLst>
                </c:dPt>
                <c:dPt>
                  <c:idx val="22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6D-E1EB-456A-BEBE-EF697796FB60}"/>
                    </c:ext>
                  </c:extLst>
                </c:dPt>
                <c:dPt>
                  <c:idx val="22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6F-E1EB-456A-BEBE-EF697796FB60}"/>
                    </c:ext>
                  </c:extLst>
                </c:dPt>
                <c:dPt>
                  <c:idx val="22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71-E1EB-456A-BEBE-EF697796FB60}"/>
                    </c:ext>
                  </c:extLst>
                </c:dPt>
                <c:dPt>
                  <c:idx val="22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73-E1EB-456A-BEBE-EF697796FB60}"/>
                    </c:ext>
                  </c:extLst>
                </c:dPt>
                <c:dPt>
                  <c:idx val="22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75-E1EB-456A-BEBE-EF697796FB60}"/>
                    </c:ext>
                  </c:extLst>
                </c:dPt>
                <c:dPt>
                  <c:idx val="22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77-E1EB-456A-BEBE-EF697796FB60}"/>
                    </c:ext>
                  </c:extLst>
                </c:dPt>
                <c:dPt>
                  <c:idx val="22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79-E1EB-456A-BEBE-EF697796FB60}"/>
                    </c:ext>
                  </c:extLst>
                </c:dPt>
                <c:dPt>
                  <c:idx val="22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7B-E1EB-456A-BEBE-EF697796FB60}"/>
                    </c:ext>
                  </c:extLst>
                </c:dPt>
                <c:dPt>
                  <c:idx val="23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7D-E1EB-456A-BEBE-EF697796FB60}"/>
                    </c:ext>
                  </c:extLst>
                </c:dPt>
                <c:dPt>
                  <c:idx val="23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7F-E1EB-456A-BEBE-EF697796FB60}"/>
                    </c:ext>
                  </c:extLst>
                </c:dPt>
                <c:dPt>
                  <c:idx val="23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81-E1EB-456A-BEBE-EF697796FB60}"/>
                    </c:ext>
                  </c:extLst>
                </c:dPt>
                <c:dPt>
                  <c:idx val="23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83-E1EB-456A-BEBE-EF697796FB60}"/>
                    </c:ext>
                  </c:extLst>
                </c:dPt>
                <c:dPt>
                  <c:idx val="23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85-E1EB-456A-BEBE-EF697796FB60}"/>
                    </c:ext>
                  </c:extLst>
                </c:dPt>
                <c:dPt>
                  <c:idx val="23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87-E1EB-456A-BEBE-EF697796FB60}"/>
                    </c:ext>
                  </c:extLst>
                </c:dPt>
                <c:dPt>
                  <c:idx val="23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89-E1EB-456A-BEBE-EF697796FB60}"/>
                    </c:ext>
                  </c:extLst>
                </c:dPt>
                <c:dPt>
                  <c:idx val="23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8B-E1EB-456A-BEBE-EF697796FB60}"/>
                    </c:ext>
                  </c:extLst>
                </c:dPt>
                <c:dPt>
                  <c:idx val="23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8D-E1EB-456A-BEBE-EF697796FB60}"/>
                    </c:ext>
                  </c:extLst>
                </c:dPt>
                <c:dPt>
                  <c:idx val="23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8F-E1EB-456A-BEBE-EF697796FB60}"/>
                    </c:ext>
                  </c:extLst>
                </c:dPt>
                <c:dPt>
                  <c:idx val="24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91-E1EB-456A-BEBE-EF697796FB60}"/>
                    </c:ext>
                  </c:extLst>
                </c:dPt>
                <c:dPt>
                  <c:idx val="24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93-E1EB-456A-BEBE-EF697796FB60}"/>
                    </c:ext>
                  </c:extLst>
                </c:dPt>
                <c:dPt>
                  <c:idx val="24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95-E1EB-456A-BEBE-EF697796FB60}"/>
                    </c:ext>
                  </c:extLst>
                </c:dPt>
                <c:dPt>
                  <c:idx val="24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97-E1EB-456A-BEBE-EF697796FB60}"/>
                    </c:ext>
                  </c:extLst>
                </c:dPt>
                <c:dPt>
                  <c:idx val="24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99-E1EB-456A-BEBE-EF697796FB60}"/>
                    </c:ext>
                  </c:extLst>
                </c:dPt>
                <c:dPt>
                  <c:idx val="24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9B-E1EB-456A-BEBE-EF697796FB60}"/>
                    </c:ext>
                  </c:extLst>
                </c:dPt>
                <c:dPt>
                  <c:idx val="24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9D-E1EB-456A-BEBE-EF697796FB60}"/>
                    </c:ext>
                  </c:extLst>
                </c:dPt>
                <c:dPt>
                  <c:idx val="24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9F-E1EB-456A-BEBE-EF697796FB60}"/>
                    </c:ext>
                  </c:extLst>
                </c:dPt>
                <c:dPt>
                  <c:idx val="24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A1-E1EB-456A-BEBE-EF697796FB60}"/>
                    </c:ext>
                  </c:extLst>
                </c:dPt>
                <c:dPt>
                  <c:idx val="24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A3-E1EB-456A-BEBE-EF697796FB60}"/>
                    </c:ext>
                  </c:extLst>
                </c:dPt>
                <c:dPt>
                  <c:idx val="25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A5-E1EB-456A-BEBE-EF697796FB60}"/>
                    </c:ext>
                  </c:extLst>
                </c:dPt>
                <c:dPt>
                  <c:idx val="25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A7-E1EB-456A-BEBE-EF697796FB60}"/>
                    </c:ext>
                  </c:extLst>
                </c:dPt>
                <c:dPt>
                  <c:idx val="25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A9-E1EB-456A-BEBE-EF697796FB60}"/>
                    </c:ext>
                  </c:extLst>
                </c:dPt>
                <c:dPt>
                  <c:idx val="25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AB-E1EB-456A-BEBE-EF697796FB60}"/>
                    </c:ext>
                  </c:extLst>
                </c:dPt>
                <c:dPt>
                  <c:idx val="25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AD-E1EB-456A-BEBE-EF697796FB60}"/>
                    </c:ext>
                  </c:extLst>
                </c:dPt>
                <c:dPt>
                  <c:idx val="25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AF-E1EB-456A-BEBE-EF697796FB60}"/>
                    </c:ext>
                  </c:extLst>
                </c:dPt>
                <c:dPt>
                  <c:idx val="25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B1-E1EB-456A-BEBE-EF697796FB60}"/>
                    </c:ext>
                  </c:extLst>
                </c:dPt>
                <c:dPt>
                  <c:idx val="25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B3-E1EB-456A-BEBE-EF697796FB60}"/>
                    </c:ext>
                  </c:extLst>
                </c:dPt>
                <c:dPt>
                  <c:idx val="25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B5-E1EB-456A-BEBE-EF697796FB60}"/>
                    </c:ext>
                  </c:extLst>
                </c:dPt>
                <c:dPt>
                  <c:idx val="25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B7-E1EB-456A-BEBE-EF697796FB60}"/>
                    </c:ext>
                  </c:extLst>
                </c:dPt>
                <c:dPt>
                  <c:idx val="26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B9-E1EB-456A-BEBE-EF697796FB60}"/>
                    </c:ext>
                  </c:extLst>
                </c:dPt>
                <c:dPt>
                  <c:idx val="26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BB-E1EB-456A-BEBE-EF697796FB60}"/>
                    </c:ext>
                  </c:extLst>
                </c:dPt>
                <c:dPt>
                  <c:idx val="26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BD-E1EB-456A-BEBE-EF697796FB60}"/>
                    </c:ext>
                  </c:extLst>
                </c:dPt>
                <c:dPt>
                  <c:idx val="26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BF-E1EB-456A-BEBE-EF697796FB60}"/>
                    </c:ext>
                  </c:extLst>
                </c:dPt>
                <c:dPt>
                  <c:idx val="26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C1-E1EB-456A-BEBE-EF697796FB60}"/>
                    </c:ext>
                  </c:extLst>
                </c:dPt>
                <c:dPt>
                  <c:idx val="26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C3-E1EB-456A-BEBE-EF697796FB60}"/>
                    </c:ext>
                  </c:extLst>
                </c:dPt>
                <c:dPt>
                  <c:idx val="26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C5-E1EB-456A-BEBE-EF697796FB60}"/>
                    </c:ext>
                  </c:extLst>
                </c:dPt>
                <c:dPt>
                  <c:idx val="26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C7-E1EB-456A-BEBE-EF697796FB60}"/>
                    </c:ext>
                  </c:extLst>
                </c:dPt>
                <c:dPt>
                  <c:idx val="26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C9-E1EB-456A-BEBE-EF697796FB60}"/>
                    </c:ext>
                  </c:extLst>
                </c:dPt>
                <c:dPt>
                  <c:idx val="26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CB-E1EB-456A-BEBE-EF697796FB60}"/>
                    </c:ext>
                  </c:extLst>
                </c:dPt>
                <c:dPt>
                  <c:idx val="27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CD-E1EB-456A-BEBE-EF697796FB60}"/>
                    </c:ext>
                  </c:extLst>
                </c:dPt>
                <c:dPt>
                  <c:idx val="27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CF-E1EB-456A-BEBE-EF697796FB60}"/>
                    </c:ext>
                  </c:extLst>
                </c:dPt>
                <c:dPt>
                  <c:idx val="27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D1-E1EB-456A-BEBE-EF697796FB60}"/>
                    </c:ext>
                  </c:extLst>
                </c:dPt>
                <c:dPt>
                  <c:idx val="27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D3-E1EB-456A-BEBE-EF697796FB60}"/>
                    </c:ext>
                  </c:extLst>
                </c:dPt>
                <c:dPt>
                  <c:idx val="27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D5-E1EB-456A-BEBE-EF697796FB60}"/>
                    </c:ext>
                  </c:extLst>
                </c:dPt>
                <c:dPt>
                  <c:idx val="27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D7-E1EB-456A-BEBE-EF697796FB60}"/>
                    </c:ext>
                  </c:extLst>
                </c:dPt>
                <c:dPt>
                  <c:idx val="27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D9-E1EB-456A-BEBE-EF697796FB60}"/>
                    </c:ext>
                  </c:extLst>
                </c:dPt>
                <c:dPt>
                  <c:idx val="27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DB-E1EB-456A-BEBE-EF697796FB60}"/>
                    </c:ext>
                  </c:extLst>
                </c:dPt>
                <c:dPt>
                  <c:idx val="27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DD-E1EB-456A-BEBE-EF697796FB60}"/>
                    </c:ext>
                  </c:extLst>
                </c:dPt>
                <c:dPt>
                  <c:idx val="27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DF-E1EB-456A-BEBE-EF697796FB60}"/>
                    </c:ext>
                  </c:extLst>
                </c:dPt>
                <c:dPt>
                  <c:idx val="28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E1-E1EB-456A-BEBE-EF697796FB60}"/>
                    </c:ext>
                  </c:extLst>
                </c:dPt>
                <c:dPt>
                  <c:idx val="28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E3-E1EB-456A-BEBE-EF697796FB60}"/>
                    </c:ext>
                  </c:extLst>
                </c:dPt>
                <c:dPt>
                  <c:idx val="28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E5-E1EB-456A-BEBE-EF697796FB60}"/>
                    </c:ext>
                  </c:extLst>
                </c:dPt>
                <c:dPt>
                  <c:idx val="28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E7-E1EB-456A-BEBE-EF697796FB60}"/>
                    </c:ext>
                  </c:extLst>
                </c:dPt>
                <c:dPt>
                  <c:idx val="28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E9-E1EB-456A-BEBE-EF697796FB60}"/>
                    </c:ext>
                  </c:extLst>
                </c:dPt>
                <c:dPt>
                  <c:idx val="28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EB-E1EB-456A-BEBE-EF697796FB60}"/>
                    </c:ext>
                  </c:extLst>
                </c:dPt>
                <c:dPt>
                  <c:idx val="28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ED-E1EB-456A-BEBE-EF697796FB60}"/>
                    </c:ext>
                  </c:extLst>
                </c:dPt>
                <c:dPt>
                  <c:idx val="28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EF-E1EB-456A-BEBE-EF697796FB60}"/>
                    </c:ext>
                  </c:extLst>
                </c:dPt>
                <c:dPt>
                  <c:idx val="28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F1-E1EB-456A-BEBE-EF697796FB60}"/>
                    </c:ext>
                  </c:extLst>
                </c:dPt>
                <c:dPt>
                  <c:idx val="28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F3-E1EB-456A-BEBE-EF697796FB60}"/>
                    </c:ext>
                  </c:extLst>
                </c:dPt>
                <c:dPt>
                  <c:idx val="29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F5-E1EB-456A-BEBE-EF697796FB60}"/>
                    </c:ext>
                  </c:extLst>
                </c:dPt>
                <c:dPt>
                  <c:idx val="29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F7-E1EB-456A-BEBE-EF697796FB60}"/>
                    </c:ext>
                  </c:extLst>
                </c:dPt>
                <c:dPt>
                  <c:idx val="29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F9-E1EB-456A-BEBE-EF697796FB60}"/>
                    </c:ext>
                  </c:extLst>
                </c:dPt>
                <c:dPt>
                  <c:idx val="29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FB-E1EB-456A-BEBE-EF697796FB60}"/>
                    </c:ext>
                  </c:extLst>
                </c:dPt>
                <c:dPt>
                  <c:idx val="29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FD-E1EB-456A-BEBE-EF697796FB60}"/>
                    </c:ext>
                  </c:extLst>
                </c:dPt>
                <c:dPt>
                  <c:idx val="29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FF-E1EB-456A-BEBE-EF697796FB60}"/>
                    </c:ext>
                  </c:extLst>
                </c:dPt>
                <c:dPt>
                  <c:idx val="29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01-E1EB-456A-BEBE-EF697796FB60}"/>
                    </c:ext>
                  </c:extLst>
                </c:dPt>
                <c:dPt>
                  <c:idx val="29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03-E1EB-456A-BEBE-EF697796FB60}"/>
                    </c:ext>
                  </c:extLst>
                </c:dPt>
                <c:dPt>
                  <c:idx val="29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05-E1EB-456A-BEBE-EF697796FB60}"/>
                    </c:ext>
                  </c:extLst>
                </c:dPt>
                <c:dPt>
                  <c:idx val="29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07-E1EB-456A-BEBE-EF697796FB60}"/>
                    </c:ext>
                  </c:extLst>
                </c:dPt>
                <c:dPt>
                  <c:idx val="30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09-E1EB-456A-BEBE-EF697796FB60}"/>
                    </c:ext>
                  </c:extLst>
                </c:dPt>
                <c:dPt>
                  <c:idx val="30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0B-E1EB-456A-BEBE-EF697796FB60}"/>
                    </c:ext>
                  </c:extLst>
                </c:dPt>
                <c:dPt>
                  <c:idx val="30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0D-E1EB-456A-BEBE-EF697796FB60}"/>
                    </c:ext>
                  </c:extLst>
                </c:dPt>
                <c:dPt>
                  <c:idx val="30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0F-E1EB-456A-BEBE-EF697796FB60}"/>
                    </c:ext>
                  </c:extLst>
                </c:dPt>
                <c:dPt>
                  <c:idx val="30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11-E1EB-456A-BEBE-EF697796FB60}"/>
                    </c:ext>
                  </c:extLst>
                </c:dPt>
                <c:dPt>
                  <c:idx val="30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13-E1EB-456A-BEBE-EF697796FB60}"/>
                    </c:ext>
                  </c:extLst>
                </c:dPt>
                <c:dPt>
                  <c:idx val="30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15-E1EB-456A-BEBE-EF697796FB60}"/>
                    </c:ext>
                  </c:extLst>
                </c:dPt>
                <c:dPt>
                  <c:idx val="30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17-E1EB-456A-BEBE-EF697796FB60}"/>
                    </c:ext>
                  </c:extLst>
                </c:dPt>
                <c:dPt>
                  <c:idx val="30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19-E1EB-456A-BEBE-EF697796FB60}"/>
                    </c:ext>
                  </c:extLst>
                </c:dPt>
                <c:dPt>
                  <c:idx val="30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1B-E1EB-456A-BEBE-EF697796FB60}"/>
                    </c:ext>
                  </c:extLst>
                </c:dPt>
                <c:dPt>
                  <c:idx val="31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1D-E1EB-456A-BEBE-EF697796FB60}"/>
                    </c:ext>
                  </c:extLst>
                </c:dPt>
                <c:dPt>
                  <c:idx val="31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1F-E1EB-456A-BEBE-EF697796FB60}"/>
                    </c:ext>
                  </c:extLst>
                </c:dPt>
                <c:dPt>
                  <c:idx val="31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21-E1EB-456A-BEBE-EF697796FB60}"/>
                    </c:ext>
                  </c:extLst>
                </c:dPt>
                <c:dPt>
                  <c:idx val="31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23-E1EB-456A-BEBE-EF697796FB60}"/>
                    </c:ext>
                  </c:extLst>
                </c:dPt>
                <c:dPt>
                  <c:idx val="31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25-E1EB-456A-BEBE-EF697796FB60}"/>
                    </c:ext>
                  </c:extLst>
                </c:dPt>
                <c:dPt>
                  <c:idx val="31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27-E1EB-456A-BEBE-EF697796FB60}"/>
                    </c:ext>
                  </c:extLst>
                </c:dPt>
                <c:dPt>
                  <c:idx val="31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29-E1EB-456A-BEBE-EF697796FB60}"/>
                    </c:ext>
                  </c:extLst>
                </c:dPt>
                <c:dPt>
                  <c:idx val="31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2B-E1EB-456A-BEBE-EF697796FB60}"/>
                    </c:ext>
                  </c:extLst>
                </c:dPt>
                <c:dPt>
                  <c:idx val="31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2D-E1EB-456A-BEBE-EF697796FB60}"/>
                    </c:ext>
                  </c:extLst>
                </c:dPt>
                <c:dPt>
                  <c:idx val="31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2F-E1EB-456A-BEBE-EF697796FB60}"/>
                    </c:ext>
                  </c:extLst>
                </c:dPt>
                <c:dPt>
                  <c:idx val="32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31-E1EB-456A-BEBE-EF697796FB60}"/>
                    </c:ext>
                  </c:extLst>
                </c:dPt>
                <c:dPt>
                  <c:idx val="32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33-E1EB-456A-BEBE-EF697796FB60}"/>
                    </c:ext>
                  </c:extLst>
                </c:dPt>
                <c:dPt>
                  <c:idx val="32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35-E1EB-456A-BEBE-EF697796FB60}"/>
                    </c:ext>
                  </c:extLst>
                </c:dPt>
                <c:dPt>
                  <c:idx val="32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37-E1EB-456A-BEBE-EF697796FB60}"/>
                    </c:ext>
                  </c:extLst>
                </c:dPt>
                <c:dPt>
                  <c:idx val="32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39-E1EB-456A-BEBE-EF697796FB60}"/>
                    </c:ext>
                  </c:extLst>
                </c:dPt>
                <c:dPt>
                  <c:idx val="32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3B-E1EB-456A-BEBE-EF697796FB60}"/>
                    </c:ext>
                  </c:extLst>
                </c:dPt>
                <c:dPt>
                  <c:idx val="32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3D-E1EB-456A-BEBE-EF697796FB60}"/>
                    </c:ext>
                  </c:extLst>
                </c:dPt>
                <c:dPt>
                  <c:idx val="32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3F-E1EB-456A-BEBE-EF697796FB60}"/>
                    </c:ext>
                  </c:extLst>
                </c:dPt>
                <c:dPt>
                  <c:idx val="32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41-E1EB-456A-BEBE-EF697796FB60}"/>
                    </c:ext>
                  </c:extLst>
                </c:dPt>
                <c:dPt>
                  <c:idx val="32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43-E1EB-456A-BEBE-EF697796FB60}"/>
                    </c:ext>
                  </c:extLst>
                </c:dPt>
                <c:dPt>
                  <c:idx val="33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45-E1EB-456A-BEBE-EF697796FB60}"/>
                    </c:ext>
                  </c:extLst>
                </c:dPt>
                <c:dPt>
                  <c:idx val="33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47-E1EB-456A-BEBE-EF697796FB60}"/>
                    </c:ext>
                  </c:extLst>
                </c:dPt>
                <c:dPt>
                  <c:idx val="33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49-E1EB-456A-BEBE-EF697796FB60}"/>
                    </c:ext>
                  </c:extLst>
                </c:dPt>
                <c:dPt>
                  <c:idx val="33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4B-E1EB-456A-BEBE-EF697796FB60}"/>
                    </c:ext>
                  </c:extLst>
                </c:dPt>
                <c:dPt>
                  <c:idx val="33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4D-E1EB-456A-BEBE-EF697796FB60}"/>
                    </c:ext>
                  </c:extLst>
                </c:dPt>
                <c:dPt>
                  <c:idx val="33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4F-E1EB-456A-BEBE-EF697796FB60}"/>
                    </c:ext>
                  </c:extLst>
                </c:dPt>
                <c:dPt>
                  <c:idx val="33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51-E1EB-456A-BEBE-EF697796FB60}"/>
                    </c:ext>
                  </c:extLst>
                </c:dPt>
                <c:dPt>
                  <c:idx val="33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53-E1EB-456A-BEBE-EF697796FB60}"/>
                    </c:ext>
                  </c:extLst>
                </c:dPt>
                <c:dPt>
                  <c:idx val="33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55-E1EB-456A-BEBE-EF697796FB60}"/>
                    </c:ext>
                  </c:extLst>
                </c:dPt>
                <c:dPt>
                  <c:idx val="33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57-E1EB-456A-BEBE-EF697796FB60}"/>
                    </c:ext>
                  </c:extLst>
                </c:dPt>
                <c:dPt>
                  <c:idx val="34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59-E1EB-456A-BEBE-EF697796FB60}"/>
                    </c:ext>
                  </c:extLst>
                </c:dPt>
                <c:dPt>
                  <c:idx val="34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5B-E1EB-456A-BEBE-EF697796FB60}"/>
                    </c:ext>
                  </c:extLst>
                </c:dPt>
                <c:dPt>
                  <c:idx val="34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5D-E1EB-456A-BEBE-EF697796FB60}"/>
                    </c:ext>
                  </c:extLst>
                </c:dPt>
                <c:dPt>
                  <c:idx val="34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5F-E1EB-456A-BEBE-EF697796FB60}"/>
                    </c:ext>
                  </c:extLst>
                </c:dPt>
                <c:dPt>
                  <c:idx val="34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61-E1EB-456A-BEBE-EF697796FB60}"/>
                    </c:ext>
                  </c:extLst>
                </c:dPt>
                <c:dPt>
                  <c:idx val="34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63-E1EB-456A-BEBE-EF697796FB60}"/>
                    </c:ext>
                  </c:extLst>
                </c:dPt>
                <c:dPt>
                  <c:idx val="34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65-E1EB-456A-BEBE-EF697796FB60}"/>
                    </c:ext>
                  </c:extLst>
                </c:dPt>
                <c:dPt>
                  <c:idx val="34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67-E1EB-456A-BEBE-EF697796FB60}"/>
                    </c:ext>
                  </c:extLst>
                </c:dPt>
                <c:dPt>
                  <c:idx val="34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69-E1EB-456A-BEBE-EF697796FB60}"/>
                    </c:ext>
                  </c:extLst>
                </c:dPt>
                <c:dPt>
                  <c:idx val="34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6B-E1EB-456A-BEBE-EF697796FB60}"/>
                    </c:ext>
                  </c:extLst>
                </c:dPt>
                <c:dPt>
                  <c:idx val="35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6D-E1EB-456A-BEBE-EF697796FB60}"/>
                    </c:ext>
                  </c:extLst>
                </c:dPt>
                <c:dPt>
                  <c:idx val="35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6F-E1EB-456A-BEBE-EF697796FB60}"/>
                    </c:ext>
                  </c:extLst>
                </c:dPt>
                <c:dPt>
                  <c:idx val="35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71-E1EB-456A-BEBE-EF697796FB60}"/>
                    </c:ext>
                  </c:extLst>
                </c:dPt>
                <c:dPt>
                  <c:idx val="35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73-E1EB-456A-BEBE-EF697796FB60}"/>
                    </c:ext>
                  </c:extLst>
                </c:dPt>
                <c:dPt>
                  <c:idx val="35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75-E1EB-456A-BEBE-EF697796FB60}"/>
                    </c:ext>
                  </c:extLst>
                </c:dPt>
                <c:dPt>
                  <c:idx val="35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77-E1EB-456A-BEBE-EF697796FB60}"/>
                    </c:ext>
                  </c:extLst>
                </c:dPt>
                <c:dPt>
                  <c:idx val="35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79-E1EB-456A-BEBE-EF697796FB60}"/>
                    </c:ext>
                  </c:extLst>
                </c:dPt>
                <c:dPt>
                  <c:idx val="35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7B-E1EB-456A-BEBE-EF697796FB60}"/>
                    </c:ext>
                  </c:extLst>
                </c:dPt>
                <c:dPt>
                  <c:idx val="35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7D-E1EB-456A-BEBE-EF697796FB60}"/>
                    </c:ext>
                  </c:extLst>
                </c:dPt>
                <c:dPt>
                  <c:idx val="35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7F-E1EB-456A-BEBE-EF697796FB60}"/>
                    </c:ext>
                  </c:extLst>
                </c:dPt>
                <c:dPt>
                  <c:idx val="36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81-E1EB-456A-BEBE-EF697796FB60}"/>
                    </c:ext>
                  </c:extLst>
                </c:dPt>
                <c:dPt>
                  <c:idx val="36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83-E1EB-456A-BEBE-EF697796FB60}"/>
                    </c:ext>
                  </c:extLst>
                </c:dPt>
                <c:dPt>
                  <c:idx val="36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85-E1EB-456A-BEBE-EF697796FB60}"/>
                    </c:ext>
                  </c:extLst>
                </c:dPt>
                <c:dPt>
                  <c:idx val="36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87-E1EB-456A-BEBE-EF697796FB60}"/>
                    </c:ext>
                  </c:extLst>
                </c:dPt>
                <c:dPt>
                  <c:idx val="36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89-E1EB-456A-BEBE-EF697796FB60}"/>
                    </c:ext>
                  </c:extLst>
                </c:dPt>
                <c:dPt>
                  <c:idx val="36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8B-E1EB-456A-BEBE-EF697796FB60}"/>
                    </c:ext>
                  </c:extLst>
                </c:dPt>
                <c:dPt>
                  <c:idx val="36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8D-E1EB-456A-BEBE-EF697796FB60}"/>
                    </c:ext>
                  </c:extLst>
                </c:dPt>
                <c:dPt>
                  <c:idx val="36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8F-E1EB-456A-BEBE-EF697796FB60}"/>
                    </c:ext>
                  </c:extLst>
                </c:dPt>
                <c:dPt>
                  <c:idx val="36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91-E1EB-456A-BEBE-EF697796FB60}"/>
                    </c:ext>
                  </c:extLst>
                </c:dPt>
                <c:dPt>
                  <c:idx val="36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93-E1EB-456A-BEBE-EF697796FB60}"/>
                    </c:ext>
                  </c:extLst>
                </c:dPt>
                <c:dPt>
                  <c:idx val="37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95-E1EB-456A-BEBE-EF697796FB60}"/>
                    </c:ext>
                  </c:extLst>
                </c:dPt>
                <c:dPt>
                  <c:idx val="37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97-E1EB-456A-BEBE-EF697796FB60}"/>
                    </c:ext>
                  </c:extLst>
                </c:dPt>
                <c:dPt>
                  <c:idx val="37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99-E1EB-456A-BEBE-EF697796FB60}"/>
                    </c:ext>
                  </c:extLst>
                </c:dPt>
                <c:dPt>
                  <c:idx val="37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9B-E1EB-456A-BEBE-EF697796FB60}"/>
                    </c:ext>
                  </c:extLst>
                </c:dPt>
                <c:dPt>
                  <c:idx val="37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9D-E1EB-456A-BEBE-EF697796FB60}"/>
                    </c:ext>
                  </c:extLst>
                </c:dPt>
                <c:dPt>
                  <c:idx val="37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9F-E1EB-456A-BEBE-EF697796FB60}"/>
                    </c:ext>
                  </c:extLst>
                </c:dPt>
                <c:dPt>
                  <c:idx val="37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A1-E1EB-456A-BEBE-EF697796FB60}"/>
                    </c:ext>
                  </c:extLst>
                </c:dPt>
                <c:dPt>
                  <c:idx val="37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A3-E1EB-456A-BEBE-EF697796FB60}"/>
                    </c:ext>
                  </c:extLst>
                </c:dPt>
                <c:dPt>
                  <c:idx val="37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A5-E1EB-456A-BEBE-EF697796FB60}"/>
                    </c:ext>
                  </c:extLst>
                </c:dPt>
                <c:dPt>
                  <c:idx val="37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A7-E1EB-456A-BEBE-EF697796FB60}"/>
                    </c:ext>
                  </c:extLst>
                </c:dPt>
                <c:dPt>
                  <c:idx val="38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A9-E1EB-456A-BEBE-EF697796FB60}"/>
                    </c:ext>
                  </c:extLst>
                </c:dPt>
                <c:dPt>
                  <c:idx val="38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AB-E1EB-456A-BEBE-EF697796FB60}"/>
                    </c:ext>
                  </c:extLst>
                </c:dPt>
                <c:dPt>
                  <c:idx val="38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AD-E1EB-456A-BEBE-EF697796FB60}"/>
                    </c:ext>
                  </c:extLst>
                </c:dPt>
                <c:dPt>
                  <c:idx val="38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AF-E1EB-456A-BEBE-EF697796FB60}"/>
                    </c:ext>
                  </c:extLst>
                </c:dPt>
                <c:dPt>
                  <c:idx val="38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B1-E1EB-456A-BEBE-EF697796FB60}"/>
                    </c:ext>
                  </c:extLst>
                </c:dPt>
                <c:dPt>
                  <c:idx val="38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B3-E1EB-456A-BEBE-EF697796FB60}"/>
                    </c:ext>
                  </c:extLst>
                </c:dPt>
                <c:dPt>
                  <c:idx val="38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B5-E1EB-456A-BEBE-EF697796FB60}"/>
                    </c:ext>
                  </c:extLst>
                </c:dPt>
                <c:dPt>
                  <c:idx val="38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B7-E1EB-456A-BEBE-EF697796FB60}"/>
                    </c:ext>
                  </c:extLst>
                </c:dPt>
                <c:dPt>
                  <c:idx val="38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B9-E1EB-456A-BEBE-EF697796FB60}"/>
                    </c:ext>
                  </c:extLst>
                </c:dPt>
                <c:dPt>
                  <c:idx val="38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BB-E1EB-456A-BEBE-EF697796FB60}"/>
                    </c:ext>
                  </c:extLst>
                </c:dPt>
                <c:dPt>
                  <c:idx val="39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BD-E1EB-456A-BEBE-EF697796FB60}"/>
                    </c:ext>
                  </c:extLst>
                </c:dPt>
                <c:dPt>
                  <c:idx val="39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BF-E1EB-456A-BEBE-EF697796FB60}"/>
                    </c:ext>
                  </c:extLst>
                </c:dPt>
                <c:dPt>
                  <c:idx val="39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C1-E1EB-456A-BEBE-EF697796FB60}"/>
                    </c:ext>
                  </c:extLst>
                </c:dPt>
                <c:dPt>
                  <c:idx val="39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C3-E1EB-456A-BEBE-EF697796FB60}"/>
                    </c:ext>
                  </c:extLst>
                </c:dPt>
                <c:dPt>
                  <c:idx val="39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C5-E1EB-456A-BEBE-EF697796FB60}"/>
                    </c:ext>
                  </c:extLst>
                </c:dPt>
                <c:dPt>
                  <c:idx val="39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C7-E1EB-456A-BEBE-EF697796FB60}"/>
                    </c:ext>
                  </c:extLst>
                </c:dPt>
                <c:dPt>
                  <c:idx val="39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C9-E1EB-456A-BEBE-EF697796FB60}"/>
                    </c:ext>
                  </c:extLst>
                </c:dPt>
                <c:dPt>
                  <c:idx val="39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CB-E1EB-456A-BEBE-EF697796FB60}"/>
                    </c:ext>
                  </c:extLst>
                </c:dPt>
                <c:dPt>
                  <c:idx val="39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CD-E1EB-456A-BEBE-EF697796FB60}"/>
                    </c:ext>
                  </c:extLst>
                </c:dPt>
                <c:dPt>
                  <c:idx val="39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CF-E1EB-456A-BEBE-EF697796FB60}"/>
                    </c:ext>
                  </c:extLst>
                </c:dPt>
                <c:dPt>
                  <c:idx val="40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D1-E1EB-456A-BEBE-EF697796FB60}"/>
                    </c:ext>
                  </c:extLst>
                </c:dPt>
                <c:dPt>
                  <c:idx val="40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D3-E1EB-456A-BEBE-EF697796FB60}"/>
                    </c:ext>
                  </c:extLst>
                </c:dPt>
                <c:dPt>
                  <c:idx val="40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D5-E1EB-456A-BEBE-EF697796FB60}"/>
                    </c:ext>
                  </c:extLst>
                </c:dPt>
                <c:dPt>
                  <c:idx val="40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D7-E1EB-456A-BEBE-EF697796FB60}"/>
                    </c:ext>
                  </c:extLst>
                </c:dPt>
                <c:dPt>
                  <c:idx val="40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D9-E1EB-456A-BEBE-EF697796FB60}"/>
                    </c:ext>
                  </c:extLst>
                </c:dPt>
                <c:dPt>
                  <c:idx val="40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DB-E1EB-456A-BEBE-EF697796FB60}"/>
                    </c:ext>
                  </c:extLst>
                </c:dPt>
                <c:dPt>
                  <c:idx val="40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DD-E1EB-456A-BEBE-EF697796FB60}"/>
                    </c:ext>
                  </c:extLst>
                </c:dPt>
                <c:dPt>
                  <c:idx val="40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DF-E1EB-456A-BEBE-EF697796FB60}"/>
                    </c:ext>
                  </c:extLst>
                </c:dPt>
                <c:dPt>
                  <c:idx val="40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E1-E1EB-456A-BEBE-EF697796FB60}"/>
                    </c:ext>
                  </c:extLst>
                </c:dPt>
                <c:dPt>
                  <c:idx val="40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E3-E1EB-456A-BEBE-EF697796FB60}"/>
                    </c:ext>
                  </c:extLst>
                </c:dPt>
                <c:dPt>
                  <c:idx val="41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E5-E1EB-456A-BEBE-EF697796FB60}"/>
                    </c:ext>
                  </c:extLst>
                </c:dPt>
                <c:dPt>
                  <c:idx val="41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E7-E1EB-456A-BEBE-EF697796FB60}"/>
                    </c:ext>
                  </c:extLst>
                </c:dPt>
                <c:dPt>
                  <c:idx val="41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E9-E1EB-456A-BEBE-EF697796FB60}"/>
                    </c:ext>
                  </c:extLst>
                </c:dPt>
                <c:dPt>
                  <c:idx val="41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EB-E1EB-456A-BEBE-EF697796FB60}"/>
                    </c:ext>
                  </c:extLst>
                </c:dPt>
                <c:dPt>
                  <c:idx val="41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ED-E1EB-456A-BEBE-EF697796FB60}"/>
                    </c:ext>
                  </c:extLst>
                </c:dPt>
                <c:dPt>
                  <c:idx val="41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EF-E1EB-456A-BEBE-EF697796FB60}"/>
                    </c:ext>
                  </c:extLst>
                </c:dPt>
                <c:dPt>
                  <c:idx val="41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F1-E1EB-456A-BEBE-EF697796FB60}"/>
                    </c:ext>
                  </c:extLst>
                </c:dPt>
                <c:dPt>
                  <c:idx val="41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F3-E1EB-456A-BEBE-EF697796FB60}"/>
                    </c:ext>
                  </c:extLst>
                </c:dPt>
                <c:dPt>
                  <c:idx val="41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F5-E1EB-456A-BEBE-EF697796FB60}"/>
                    </c:ext>
                  </c:extLst>
                </c:dPt>
                <c:dPt>
                  <c:idx val="41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F7-E1EB-456A-BEBE-EF697796FB60}"/>
                    </c:ext>
                  </c:extLst>
                </c:dPt>
                <c:dPt>
                  <c:idx val="42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F9-E1EB-456A-BEBE-EF697796FB60}"/>
                    </c:ext>
                  </c:extLst>
                </c:dPt>
                <c:dPt>
                  <c:idx val="42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FB-E1EB-456A-BEBE-EF697796FB60}"/>
                    </c:ext>
                  </c:extLst>
                </c:dPt>
                <c:dPt>
                  <c:idx val="42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FD-E1EB-456A-BEBE-EF697796FB60}"/>
                    </c:ext>
                  </c:extLst>
                </c:dPt>
                <c:dPt>
                  <c:idx val="42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FF-E1EB-456A-BEBE-EF697796FB60}"/>
                    </c:ext>
                  </c:extLst>
                </c:dPt>
                <c:dPt>
                  <c:idx val="42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01-E1EB-456A-BEBE-EF697796FB60}"/>
                    </c:ext>
                  </c:extLst>
                </c:dPt>
                <c:dPt>
                  <c:idx val="42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03-E1EB-456A-BEBE-EF697796FB60}"/>
                    </c:ext>
                  </c:extLst>
                </c:dPt>
                <c:dPt>
                  <c:idx val="42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05-E1EB-456A-BEBE-EF697796FB60}"/>
                    </c:ext>
                  </c:extLst>
                </c:dPt>
                <c:dPt>
                  <c:idx val="42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07-E1EB-456A-BEBE-EF697796FB60}"/>
                    </c:ext>
                  </c:extLst>
                </c:dPt>
                <c:dPt>
                  <c:idx val="42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09-E1EB-456A-BEBE-EF697796FB60}"/>
                    </c:ext>
                  </c:extLst>
                </c:dPt>
                <c:dPt>
                  <c:idx val="42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0B-E1EB-456A-BEBE-EF697796FB60}"/>
                    </c:ext>
                  </c:extLst>
                </c:dPt>
                <c:dPt>
                  <c:idx val="43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0D-E1EB-456A-BEBE-EF697796FB60}"/>
                    </c:ext>
                  </c:extLst>
                </c:dPt>
                <c:dPt>
                  <c:idx val="43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0F-E1EB-456A-BEBE-EF697796FB60}"/>
                    </c:ext>
                  </c:extLst>
                </c:dPt>
                <c:dPt>
                  <c:idx val="43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11-E1EB-456A-BEBE-EF697796FB60}"/>
                    </c:ext>
                  </c:extLst>
                </c:dPt>
                <c:dPt>
                  <c:idx val="43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13-E1EB-456A-BEBE-EF697796FB60}"/>
                    </c:ext>
                  </c:extLst>
                </c:dPt>
                <c:dPt>
                  <c:idx val="43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15-E1EB-456A-BEBE-EF697796FB60}"/>
                    </c:ext>
                  </c:extLst>
                </c:dPt>
                <c:dPt>
                  <c:idx val="43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17-E1EB-456A-BEBE-EF697796FB60}"/>
                    </c:ext>
                  </c:extLst>
                </c:dPt>
                <c:dPt>
                  <c:idx val="43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19-E1EB-456A-BEBE-EF697796FB60}"/>
                    </c:ext>
                  </c:extLst>
                </c:dPt>
                <c:dPt>
                  <c:idx val="43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1B-E1EB-456A-BEBE-EF697796FB60}"/>
                    </c:ext>
                  </c:extLst>
                </c:dPt>
                <c:dPt>
                  <c:idx val="43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1D-E1EB-456A-BEBE-EF697796FB60}"/>
                    </c:ext>
                  </c:extLst>
                </c:dPt>
                <c:dPt>
                  <c:idx val="43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1F-E1EB-456A-BEBE-EF697796FB60}"/>
                    </c:ext>
                  </c:extLst>
                </c:dPt>
                <c:dPt>
                  <c:idx val="44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21-E1EB-456A-BEBE-EF697796FB60}"/>
                    </c:ext>
                  </c:extLst>
                </c:dPt>
                <c:dPt>
                  <c:idx val="44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23-E1EB-456A-BEBE-EF697796FB60}"/>
                    </c:ext>
                  </c:extLst>
                </c:dPt>
                <c:dPt>
                  <c:idx val="44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25-E1EB-456A-BEBE-EF697796FB60}"/>
                    </c:ext>
                  </c:extLst>
                </c:dPt>
                <c:dPt>
                  <c:idx val="44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27-E1EB-456A-BEBE-EF697796FB60}"/>
                    </c:ext>
                  </c:extLst>
                </c:dPt>
                <c:dPt>
                  <c:idx val="44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29-E1EB-456A-BEBE-EF697796FB60}"/>
                    </c:ext>
                  </c:extLst>
                </c:dPt>
                <c:dPt>
                  <c:idx val="44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2B-E1EB-456A-BEBE-EF697796FB60}"/>
                    </c:ext>
                  </c:extLst>
                </c:dPt>
                <c:dPt>
                  <c:idx val="44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2D-E1EB-456A-BEBE-EF697796FB60}"/>
                    </c:ext>
                  </c:extLst>
                </c:dPt>
                <c:dPt>
                  <c:idx val="44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2F-E1EB-456A-BEBE-EF697796FB60}"/>
                    </c:ext>
                  </c:extLst>
                </c:dPt>
                <c:dPt>
                  <c:idx val="44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31-E1EB-456A-BEBE-EF697796FB60}"/>
                    </c:ext>
                  </c:extLst>
                </c:dPt>
                <c:dPt>
                  <c:idx val="44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33-E1EB-456A-BEBE-EF697796FB60}"/>
                    </c:ext>
                  </c:extLst>
                </c:dPt>
                <c:dPt>
                  <c:idx val="45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35-E1EB-456A-BEBE-EF697796FB60}"/>
                    </c:ext>
                  </c:extLst>
                </c:dPt>
                <c:dPt>
                  <c:idx val="45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37-E1EB-456A-BEBE-EF697796FB60}"/>
                    </c:ext>
                  </c:extLst>
                </c:dPt>
                <c:dPt>
                  <c:idx val="45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39-E1EB-456A-BEBE-EF697796FB60}"/>
                    </c:ext>
                  </c:extLst>
                </c:dPt>
                <c:dPt>
                  <c:idx val="45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3B-E1EB-456A-BEBE-EF697796FB60}"/>
                    </c:ext>
                  </c:extLst>
                </c:dPt>
                <c:dPt>
                  <c:idx val="45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3D-E1EB-456A-BEBE-EF697796FB60}"/>
                    </c:ext>
                  </c:extLst>
                </c:dPt>
                <c:dPt>
                  <c:idx val="45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3F-E1EB-456A-BEBE-EF697796FB60}"/>
                    </c:ext>
                  </c:extLst>
                </c:dPt>
                <c:dPt>
                  <c:idx val="45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41-E1EB-456A-BEBE-EF697796FB60}"/>
                    </c:ext>
                  </c:extLst>
                </c:dPt>
                <c:dPt>
                  <c:idx val="45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43-E1EB-456A-BEBE-EF697796FB60}"/>
                    </c:ext>
                  </c:extLst>
                </c:dPt>
                <c:dPt>
                  <c:idx val="45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45-E1EB-456A-BEBE-EF697796FB60}"/>
                    </c:ext>
                  </c:extLst>
                </c:dPt>
                <c:dPt>
                  <c:idx val="45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47-E1EB-456A-BEBE-EF697796FB60}"/>
                    </c:ext>
                  </c:extLst>
                </c:dPt>
                <c:dPt>
                  <c:idx val="46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49-E1EB-456A-BEBE-EF697796FB60}"/>
                    </c:ext>
                  </c:extLst>
                </c:dPt>
                <c:dPt>
                  <c:idx val="46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4B-E1EB-456A-BEBE-EF697796FB60}"/>
                    </c:ext>
                  </c:extLst>
                </c:dPt>
                <c:dPt>
                  <c:idx val="46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4D-E1EB-456A-BEBE-EF697796FB60}"/>
                    </c:ext>
                  </c:extLst>
                </c:dPt>
                <c:dPt>
                  <c:idx val="46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4F-E1EB-456A-BEBE-EF697796FB60}"/>
                    </c:ext>
                  </c:extLst>
                </c:dPt>
                <c:dPt>
                  <c:idx val="46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51-E1EB-456A-BEBE-EF697796FB60}"/>
                    </c:ext>
                  </c:extLst>
                </c:dPt>
                <c:dPt>
                  <c:idx val="46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53-E1EB-456A-BEBE-EF697796FB60}"/>
                    </c:ext>
                  </c:extLst>
                </c:dPt>
                <c:dPt>
                  <c:idx val="46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55-E1EB-456A-BEBE-EF697796FB60}"/>
                    </c:ext>
                  </c:extLst>
                </c:dPt>
                <c:dPt>
                  <c:idx val="46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57-E1EB-456A-BEBE-EF697796FB60}"/>
                    </c:ext>
                  </c:extLst>
                </c:dPt>
                <c:dPt>
                  <c:idx val="46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59-E1EB-456A-BEBE-EF697796FB60}"/>
                    </c:ext>
                  </c:extLst>
                </c:dPt>
                <c:dPt>
                  <c:idx val="46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5B-E1EB-456A-BEBE-EF697796FB60}"/>
                    </c:ext>
                  </c:extLst>
                </c:dPt>
                <c:dPt>
                  <c:idx val="47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5D-E1EB-456A-BEBE-EF697796FB60}"/>
                    </c:ext>
                  </c:extLst>
                </c:dPt>
                <c:dPt>
                  <c:idx val="47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5F-E1EB-456A-BEBE-EF697796FB60}"/>
                    </c:ext>
                  </c:extLst>
                </c:dPt>
                <c:dPt>
                  <c:idx val="47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61-E1EB-456A-BEBE-EF697796FB60}"/>
                    </c:ext>
                  </c:extLst>
                </c:dPt>
                <c:dPt>
                  <c:idx val="47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63-E1EB-456A-BEBE-EF697796FB60}"/>
                    </c:ext>
                  </c:extLst>
                </c:dPt>
                <c:dPt>
                  <c:idx val="47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65-E1EB-456A-BEBE-EF697796FB60}"/>
                    </c:ext>
                  </c:extLst>
                </c:dPt>
                <c:dPt>
                  <c:idx val="47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67-E1EB-456A-BEBE-EF697796FB60}"/>
                    </c:ext>
                  </c:extLst>
                </c:dPt>
                <c:dPt>
                  <c:idx val="47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69-E1EB-456A-BEBE-EF697796FB60}"/>
                    </c:ext>
                  </c:extLst>
                </c:dPt>
                <c:dPt>
                  <c:idx val="47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6B-E1EB-456A-BEBE-EF697796FB60}"/>
                    </c:ext>
                  </c:extLst>
                </c:dPt>
                <c:dPt>
                  <c:idx val="47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6D-E1EB-456A-BEBE-EF697796FB60}"/>
                    </c:ext>
                  </c:extLst>
                </c:dPt>
                <c:dPt>
                  <c:idx val="47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6F-E1EB-456A-BEBE-EF697796FB60}"/>
                    </c:ext>
                  </c:extLst>
                </c:dPt>
                <c:dPt>
                  <c:idx val="48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71-E1EB-456A-BEBE-EF697796FB60}"/>
                    </c:ext>
                  </c:extLst>
                </c:dPt>
                <c:dPt>
                  <c:idx val="48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73-E1EB-456A-BEBE-EF697796FB60}"/>
                    </c:ext>
                  </c:extLst>
                </c:dPt>
                <c:dPt>
                  <c:idx val="48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75-E1EB-456A-BEBE-EF697796FB60}"/>
                    </c:ext>
                  </c:extLst>
                </c:dPt>
                <c:dPt>
                  <c:idx val="48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77-E1EB-456A-BEBE-EF697796FB60}"/>
                    </c:ext>
                  </c:extLst>
                </c:dPt>
                <c:dPt>
                  <c:idx val="48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79-E1EB-456A-BEBE-EF697796FB60}"/>
                    </c:ext>
                  </c:extLst>
                </c:dPt>
                <c:dPt>
                  <c:idx val="48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7B-E1EB-456A-BEBE-EF697796FB60}"/>
                    </c:ext>
                  </c:extLst>
                </c:dPt>
                <c:dPt>
                  <c:idx val="48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7D-E1EB-456A-BEBE-EF697796FB60}"/>
                    </c:ext>
                  </c:extLst>
                </c:dPt>
                <c:dPt>
                  <c:idx val="48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7F-E1EB-456A-BEBE-EF697796FB60}"/>
                    </c:ext>
                  </c:extLst>
                </c:dPt>
                <c:dPt>
                  <c:idx val="48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81-E1EB-456A-BEBE-EF697796FB60}"/>
                    </c:ext>
                  </c:extLst>
                </c:dPt>
                <c:dPt>
                  <c:idx val="48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83-E1EB-456A-BEBE-EF697796FB60}"/>
                    </c:ext>
                  </c:extLst>
                </c:dPt>
                <c:dPt>
                  <c:idx val="49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85-E1EB-456A-BEBE-EF697796FB60}"/>
                    </c:ext>
                  </c:extLst>
                </c:dPt>
                <c:dPt>
                  <c:idx val="49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87-E1EB-456A-BEBE-EF697796FB60}"/>
                    </c:ext>
                  </c:extLst>
                </c:dPt>
                <c:dPt>
                  <c:idx val="49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89-E1EB-456A-BEBE-EF697796FB60}"/>
                    </c:ext>
                  </c:extLst>
                </c:dPt>
                <c:dPt>
                  <c:idx val="49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8B-E1EB-456A-BEBE-EF697796FB60}"/>
                    </c:ext>
                  </c:extLst>
                </c:dPt>
                <c:dPt>
                  <c:idx val="49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8D-E1EB-456A-BEBE-EF697796FB60}"/>
                    </c:ext>
                  </c:extLst>
                </c:dPt>
                <c:dPt>
                  <c:idx val="49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8F-E1EB-456A-BEBE-EF697796FB60}"/>
                    </c:ext>
                  </c:extLst>
                </c:dPt>
                <c:dPt>
                  <c:idx val="49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91-E1EB-456A-BEBE-EF697796FB60}"/>
                    </c:ext>
                  </c:extLst>
                </c:dPt>
                <c:dPt>
                  <c:idx val="49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93-E1EB-456A-BEBE-EF697796FB60}"/>
                    </c:ext>
                  </c:extLst>
                </c:dPt>
                <c:dPt>
                  <c:idx val="49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95-E1EB-456A-BEBE-EF697796FB60}"/>
                    </c:ext>
                  </c:extLst>
                </c:dPt>
                <c:dPt>
                  <c:idx val="49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97-E1EB-456A-BEBE-EF697796FB60}"/>
                    </c:ext>
                  </c:extLst>
                </c:dPt>
                <c:dPt>
                  <c:idx val="50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99-E1EB-456A-BEBE-EF697796FB60}"/>
                    </c:ext>
                  </c:extLst>
                </c:dPt>
                <c:dPt>
                  <c:idx val="50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9B-E1EB-456A-BEBE-EF697796FB60}"/>
                    </c:ext>
                  </c:extLst>
                </c:dPt>
                <c:dPt>
                  <c:idx val="50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9D-E1EB-456A-BEBE-EF697796FB60}"/>
                    </c:ext>
                  </c:extLst>
                </c:dPt>
                <c:dPt>
                  <c:idx val="50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9F-E1EB-456A-BEBE-EF697796FB60}"/>
                    </c:ext>
                  </c:extLst>
                </c:dPt>
                <c:dPt>
                  <c:idx val="50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A1-E1EB-456A-BEBE-EF697796FB60}"/>
                    </c:ext>
                  </c:extLst>
                </c:dPt>
                <c:dPt>
                  <c:idx val="50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A3-E1EB-456A-BEBE-EF697796FB60}"/>
                    </c:ext>
                  </c:extLst>
                </c:dPt>
                <c:dPt>
                  <c:idx val="50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A5-E1EB-456A-BEBE-EF697796FB60}"/>
                    </c:ext>
                  </c:extLst>
                </c:dPt>
                <c:dPt>
                  <c:idx val="50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A7-E1EB-456A-BEBE-EF697796FB60}"/>
                    </c:ext>
                  </c:extLst>
                </c:dPt>
                <c:dPt>
                  <c:idx val="50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A9-E1EB-456A-BEBE-EF697796FB60}"/>
                    </c:ext>
                  </c:extLst>
                </c:dPt>
                <c:dPt>
                  <c:idx val="50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AB-E1EB-456A-BEBE-EF697796FB60}"/>
                    </c:ext>
                  </c:extLst>
                </c:dPt>
                <c:dPt>
                  <c:idx val="51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AD-E1EB-456A-BEBE-EF697796FB60}"/>
                    </c:ext>
                  </c:extLst>
                </c:dPt>
                <c:dPt>
                  <c:idx val="51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AF-E1EB-456A-BEBE-EF697796FB60}"/>
                    </c:ext>
                  </c:extLst>
                </c:dPt>
                <c:dPt>
                  <c:idx val="51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B1-E1EB-456A-BEBE-EF697796FB60}"/>
                    </c:ext>
                  </c:extLst>
                </c:dPt>
                <c:dPt>
                  <c:idx val="51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B3-E1EB-456A-BEBE-EF697796FB60}"/>
                    </c:ext>
                  </c:extLst>
                </c:dPt>
                <c:dPt>
                  <c:idx val="51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B5-E1EB-456A-BEBE-EF697796FB60}"/>
                    </c:ext>
                  </c:extLst>
                </c:dPt>
                <c:dPt>
                  <c:idx val="51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B7-E1EB-456A-BEBE-EF697796FB60}"/>
                    </c:ext>
                  </c:extLst>
                </c:dPt>
                <c:dPt>
                  <c:idx val="51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B9-E1EB-456A-BEBE-EF697796FB60}"/>
                    </c:ext>
                  </c:extLst>
                </c:dPt>
                <c:dPt>
                  <c:idx val="51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BB-E1EB-456A-BEBE-EF697796FB60}"/>
                    </c:ext>
                  </c:extLst>
                </c:dPt>
                <c:dPt>
                  <c:idx val="51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BD-E1EB-456A-BEBE-EF697796FB60}"/>
                    </c:ext>
                  </c:extLst>
                </c:dPt>
                <c:dPt>
                  <c:idx val="51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BF-E1EB-456A-BEBE-EF697796FB60}"/>
                    </c:ext>
                  </c:extLst>
                </c:dPt>
                <c:dPt>
                  <c:idx val="52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C1-E1EB-456A-BEBE-EF697796FB60}"/>
                    </c:ext>
                  </c:extLst>
                </c:dPt>
                <c:dPt>
                  <c:idx val="52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C3-E1EB-456A-BEBE-EF697796FB60}"/>
                    </c:ext>
                  </c:extLst>
                </c:dPt>
                <c:dPt>
                  <c:idx val="52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C5-E1EB-456A-BEBE-EF697796FB60}"/>
                    </c:ext>
                  </c:extLst>
                </c:dPt>
                <c:dPt>
                  <c:idx val="52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C7-E1EB-456A-BEBE-EF697796FB60}"/>
                    </c:ext>
                  </c:extLst>
                </c:dPt>
                <c:dPt>
                  <c:idx val="52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C9-E1EB-456A-BEBE-EF697796FB60}"/>
                    </c:ext>
                  </c:extLst>
                </c:dPt>
                <c:dPt>
                  <c:idx val="52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CB-E1EB-456A-BEBE-EF697796FB60}"/>
                    </c:ext>
                  </c:extLst>
                </c:dPt>
                <c:dPt>
                  <c:idx val="52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CD-E1EB-456A-BEBE-EF697796FB60}"/>
                    </c:ext>
                  </c:extLst>
                </c:dPt>
                <c:dPt>
                  <c:idx val="52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CF-E1EB-456A-BEBE-EF697796FB60}"/>
                    </c:ext>
                  </c:extLst>
                </c:dPt>
                <c:dPt>
                  <c:idx val="52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D1-E1EB-456A-BEBE-EF697796FB60}"/>
                    </c:ext>
                  </c:extLst>
                </c:dPt>
                <c:dPt>
                  <c:idx val="52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D3-E1EB-456A-BEBE-EF697796FB60}"/>
                    </c:ext>
                  </c:extLst>
                </c:dPt>
                <c:dPt>
                  <c:idx val="53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D5-E1EB-456A-BEBE-EF697796FB60}"/>
                    </c:ext>
                  </c:extLst>
                </c:dPt>
                <c:dPt>
                  <c:idx val="53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D7-E1EB-456A-BEBE-EF697796FB60}"/>
                    </c:ext>
                  </c:extLst>
                </c:dPt>
                <c:dPt>
                  <c:idx val="53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D9-E1EB-456A-BEBE-EF697796FB60}"/>
                    </c:ext>
                  </c:extLst>
                </c:dPt>
                <c:dPt>
                  <c:idx val="53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DB-E1EB-456A-BEBE-EF697796FB60}"/>
                    </c:ext>
                  </c:extLst>
                </c:dPt>
                <c:dPt>
                  <c:idx val="53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DD-E1EB-456A-BEBE-EF697796FB60}"/>
                    </c:ext>
                  </c:extLst>
                </c:dPt>
                <c:dPt>
                  <c:idx val="53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DF-E1EB-456A-BEBE-EF697796FB60}"/>
                    </c:ext>
                  </c:extLst>
                </c:dPt>
                <c:dPt>
                  <c:idx val="53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E1-E1EB-456A-BEBE-EF697796FB60}"/>
                    </c:ext>
                  </c:extLst>
                </c:dPt>
                <c:dPt>
                  <c:idx val="53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E3-E1EB-456A-BEBE-EF697796FB60}"/>
                    </c:ext>
                  </c:extLst>
                </c:dPt>
                <c:dPt>
                  <c:idx val="53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E5-E1EB-456A-BEBE-EF697796FB60}"/>
                    </c:ext>
                  </c:extLst>
                </c:dPt>
                <c:dPt>
                  <c:idx val="53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E7-E1EB-456A-BEBE-EF697796FB60}"/>
                    </c:ext>
                  </c:extLst>
                </c:dPt>
                <c:dPt>
                  <c:idx val="54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E9-E1EB-456A-BEBE-EF697796FB60}"/>
                    </c:ext>
                  </c:extLst>
                </c:dPt>
                <c:dPt>
                  <c:idx val="54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EB-E1EB-456A-BEBE-EF697796FB60}"/>
                    </c:ext>
                  </c:extLst>
                </c:dPt>
                <c:dPt>
                  <c:idx val="54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ED-E1EB-456A-BEBE-EF697796FB60}"/>
                    </c:ext>
                  </c:extLst>
                </c:dPt>
                <c:dPt>
                  <c:idx val="54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EF-E1EB-456A-BEBE-EF697796FB60}"/>
                    </c:ext>
                  </c:extLst>
                </c:dPt>
                <c:dPt>
                  <c:idx val="54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F1-E1EB-456A-BEBE-EF697796FB60}"/>
                    </c:ext>
                  </c:extLst>
                </c:dPt>
                <c:dPt>
                  <c:idx val="54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F3-E1EB-456A-BEBE-EF697796FB60}"/>
                    </c:ext>
                  </c:extLst>
                </c:dPt>
                <c:dPt>
                  <c:idx val="54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F5-E1EB-456A-BEBE-EF697796FB60}"/>
                    </c:ext>
                  </c:extLst>
                </c:dPt>
                <c:dPt>
                  <c:idx val="54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F7-E1EB-456A-BEBE-EF697796FB60}"/>
                    </c:ext>
                  </c:extLst>
                </c:dPt>
                <c:dPt>
                  <c:idx val="54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F9-E1EB-456A-BEBE-EF697796FB60}"/>
                    </c:ext>
                  </c:extLst>
                </c:dPt>
                <c:dPt>
                  <c:idx val="54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FB-E1EB-456A-BEBE-EF697796FB60}"/>
                    </c:ext>
                  </c:extLst>
                </c:dPt>
                <c:dPt>
                  <c:idx val="55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FD-E1EB-456A-BEBE-EF697796FB60}"/>
                    </c:ext>
                  </c:extLst>
                </c:dPt>
                <c:dPt>
                  <c:idx val="55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FF-E1EB-456A-BEBE-EF697796FB60}"/>
                    </c:ext>
                  </c:extLst>
                </c:dPt>
                <c:dPt>
                  <c:idx val="55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01-E1EB-456A-BEBE-EF697796FB60}"/>
                    </c:ext>
                  </c:extLst>
                </c:dPt>
                <c:dPt>
                  <c:idx val="55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03-E1EB-456A-BEBE-EF697796FB60}"/>
                    </c:ext>
                  </c:extLst>
                </c:dPt>
                <c:dPt>
                  <c:idx val="55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05-E1EB-456A-BEBE-EF697796FB60}"/>
                    </c:ext>
                  </c:extLst>
                </c:dPt>
                <c:dPt>
                  <c:idx val="55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07-E1EB-456A-BEBE-EF697796FB60}"/>
                    </c:ext>
                  </c:extLst>
                </c:dPt>
                <c:dPt>
                  <c:idx val="55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09-E1EB-456A-BEBE-EF697796FB60}"/>
                    </c:ext>
                  </c:extLst>
                </c:dPt>
                <c:dPt>
                  <c:idx val="55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0B-E1EB-456A-BEBE-EF697796FB60}"/>
                    </c:ext>
                  </c:extLst>
                </c:dPt>
                <c:dPt>
                  <c:idx val="55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0D-E1EB-456A-BEBE-EF697796FB60}"/>
                    </c:ext>
                  </c:extLst>
                </c:dPt>
                <c:dPt>
                  <c:idx val="55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0F-E1EB-456A-BEBE-EF697796FB60}"/>
                    </c:ext>
                  </c:extLst>
                </c:dPt>
                <c:dPt>
                  <c:idx val="56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11-E1EB-456A-BEBE-EF697796FB60}"/>
                    </c:ext>
                  </c:extLst>
                </c:dPt>
                <c:dPt>
                  <c:idx val="56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13-E1EB-456A-BEBE-EF697796FB60}"/>
                    </c:ext>
                  </c:extLst>
                </c:dPt>
                <c:dPt>
                  <c:idx val="56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15-E1EB-456A-BEBE-EF697796FB60}"/>
                    </c:ext>
                  </c:extLst>
                </c:dPt>
                <c:dPt>
                  <c:idx val="56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17-E1EB-456A-BEBE-EF697796FB60}"/>
                    </c:ext>
                  </c:extLst>
                </c:dPt>
                <c:dPt>
                  <c:idx val="56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19-E1EB-456A-BEBE-EF697796FB60}"/>
                    </c:ext>
                  </c:extLst>
                </c:dPt>
                <c:dPt>
                  <c:idx val="56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1B-E1EB-456A-BEBE-EF697796FB60}"/>
                    </c:ext>
                  </c:extLst>
                </c:dPt>
                <c:dPt>
                  <c:idx val="56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1D-E1EB-456A-BEBE-EF697796FB60}"/>
                    </c:ext>
                  </c:extLst>
                </c:dPt>
                <c:dPt>
                  <c:idx val="56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1F-E1EB-456A-BEBE-EF697796FB60}"/>
                    </c:ext>
                  </c:extLst>
                </c:dPt>
                <c:dPt>
                  <c:idx val="56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21-E1EB-456A-BEBE-EF697796FB60}"/>
                    </c:ext>
                  </c:extLst>
                </c:dPt>
                <c:dPt>
                  <c:idx val="56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23-E1EB-456A-BEBE-EF697796FB60}"/>
                    </c:ext>
                  </c:extLst>
                </c:dPt>
                <c:dPt>
                  <c:idx val="57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25-E1EB-456A-BEBE-EF697796FB60}"/>
                    </c:ext>
                  </c:extLst>
                </c:dPt>
                <c:dPt>
                  <c:idx val="57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27-E1EB-456A-BEBE-EF697796FB60}"/>
                    </c:ext>
                  </c:extLst>
                </c:dPt>
                <c:dPt>
                  <c:idx val="57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29-E1EB-456A-BEBE-EF697796FB60}"/>
                    </c:ext>
                  </c:extLst>
                </c:dPt>
                <c:dPt>
                  <c:idx val="57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2B-E1EB-456A-BEBE-EF697796FB60}"/>
                    </c:ext>
                  </c:extLst>
                </c:dPt>
                <c:dPt>
                  <c:idx val="57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2D-E1EB-456A-BEBE-EF697796FB60}"/>
                    </c:ext>
                  </c:extLst>
                </c:dPt>
                <c:dPt>
                  <c:idx val="57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2F-E1EB-456A-BEBE-EF697796FB60}"/>
                    </c:ext>
                  </c:extLst>
                </c:dPt>
                <c:dPt>
                  <c:idx val="57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31-E1EB-456A-BEBE-EF697796FB60}"/>
                    </c:ext>
                  </c:extLst>
                </c:dPt>
                <c:dPt>
                  <c:idx val="57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33-E1EB-456A-BEBE-EF697796FB60}"/>
                    </c:ext>
                  </c:extLst>
                </c:dPt>
                <c:dPt>
                  <c:idx val="57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35-E1EB-456A-BEBE-EF697796FB60}"/>
                    </c:ext>
                  </c:extLst>
                </c:dPt>
                <c:dPt>
                  <c:idx val="57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37-E1EB-456A-BEBE-EF697796FB60}"/>
                    </c:ext>
                  </c:extLst>
                </c:dPt>
                <c:dPt>
                  <c:idx val="58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39-E1EB-456A-BEBE-EF697796FB60}"/>
                    </c:ext>
                  </c:extLst>
                </c:dPt>
                <c:dPt>
                  <c:idx val="58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3B-E1EB-456A-BEBE-EF697796FB60}"/>
                    </c:ext>
                  </c:extLst>
                </c:dPt>
                <c:dPt>
                  <c:idx val="58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3D-E1EB-456A-BEBE-EF697796FB60}"/>
                    </c:ext>
                  </c:extLst>
                </c:dPt>
                <c:dPt>
                  <c:idx val="58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3F-E1EB-456A-BEBE-EF697796FB60}"/>
                    </c:ext>
                  </c:extLst>
                </c:dPt>
                <c:dPt>
                  <c:idx val="58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41-E1EB-456A-BEBE-EF697796FB60}"/>
                    </c:ext>
                  </c:extLst>
                </c:dPt>
                <c:dPt>
                  <c:idx val="58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43-E1EB-456A-BEBE-EF697796FB60}"/>
                    </c:ext>
                  </c:extLst>
                </c:dPt>
                <c:dPt>
                  <c:idx val="58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45-E1EB-456A-BEBE-EF697796FB60}"/>
                    </c:ext>
                  </c:extLst>
                </c:dPt>
                <c:dPt>
                  <c:idx val="58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47-E1EB-456A-BEBE-EF697796FB60}"/>
                    </c:ext>
                  </c:extLst>
                </c:dPt>
                <c:dPt>
                  <c:idx val="58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49-E1EB-456A-BEBE-EF697796FB60}"/>
                    </c:ext>
                  </c:extLst>
                </c:dPt>
                <c:dPt>
                  <c:idx val="58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4B-E1EB-456A-BEBE-EF697796FB60}"/>
                    </c:ext>
                  </c:extLst>
                </c:dPt>
                <c:dPt>
                  <c:idx val="59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4D-E1EB-456A-BEBE-EF697796FB60}"/>
                    </c:ext>
                  </c:extLst>
                </c:dPt>
                <c:dPt>
                  <c:idx val="59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4F-E1EB-456A-BEBE-EF697796FB60}"/>
                    </c:ext>
                  </c:extLst>
                </c:dPt>
                <c:dPt>
                  <c:idx val="59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51-E1EB-456A-BEBE-EF697796FB60}"/>
                    </c:ext>
                  </c:extLst>
                </c:dPt>
                <c:dPt>
                  <c:idx val="59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53-E1EB-456A-BEBE-EF697796FB60}"/>
                    </c:ext>
                  </c:extLst>
                </c:dPt>
                <c:dPt>
                  <c:idx val="59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55-E1EB-456A-BEBE-EF697796FB60}"/>
                    </c:ext>
                  </c:extLst>
                </c:dPt>
                <c:dPt>
                  <c:idx val="59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57-E1EB-456A-BEBE-EF697796FB60}"/>
                    </c:ext>
                  </c:extLst>
                </c:dPt>
                <c:dPt>
                  <c:idx val="59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59-E1EB-456A-BEBE-EF697796FB60}"/>
                    </c:ext>
                  </c:extLst>
                </c:dPt>
                <c:dPt>
                  <c:idx val="59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5B-E1EB-456A-BEBE-EF697796FB60}"/>
                    </c:ext>
                  </c:extLst>
                </c:dPt>
                <c:dPt>
                  <c:idx val="59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5D-E1EB-456A-BEBE-EF697796FB60}"/>
                    </c:ext>
                  </c:extLst>
                </c:dPt>
                <c:dPt>
                  <c:idx val="59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5F-E1EB-456A-BEBE-EF697796FB60}"/>
                    </c:ext>
                  </c:extLst>
                </c:dPt>
                <c:dPt>
                  <c:idx val="60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61-E1EB-456A-BEBE-EF697796FB60}"/>
                    </c:ext>
                  </c:extLst>
                </c:dPt>
                <c:dPt>
                  <c:idx val="60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63-E1EB-456A-BEBE-EF697796FB60}"/>
                    </c:ext>
                  </c:extLst>
                </c:dPt>
                <c:dPt>
                  <c:idx val="60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65-E1EB-456A-BEBE-EF697796FB60}"/>
                    </c:ext>
                  </c:extLst>
                </c:dPt>
                <c:dPt>
                  <c:idx val="60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67-E1EB-456A-BEBE-EF697796FB60}"/>
                    </c:ext>
                  </c:extLst>
                </c:dPt>
                <c:dPt>
                  <c:idx val="60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69-E1EB-456A-BEBE-EF697796FB60}"/>
                    </c:ext>
                  </c:extLst>
                </c:dPt>
                <c:dPt>
                  <c:idx val="60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6B-E1EB-456A-BEBE-EF697796FB60}"/>
                    </c:ext>
                  </c:extLst>
                </c:dPt>
                <c:dPt>
                  <c:idx val="60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6D-E1EB-456A-BEBE-EF697796FB60}"/>
                    </c:ext>
                  </c:extLst>
                </c:dPt>
                <c:dPt>
                  <c:idx val="60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6F-E1EB-456A-BEBE-EF697796FB60}"/>
                    </c:ext>
                  </c:extLst>
                </c:dPt>
                <c:dPt>
                  <c:idx val="60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71-E1EB-456A-BEBE-EF697796FB60}"/>
                    </c:ext>
                  </c:extLst>
                </c:dPt>
                <c:dPt>
                  <c:idx val="60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73-E1EB-456A-BEBE-EF697796FB60}"/>
                    </c:ext>
                  </c:extLst>
                </c:dPt>
                <c:dPt>
                  <c:idx val="61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75-E1EB-456A-BEBE-EF697796FB60}"/>
                    </c:ext>
                  </c:extLst>
                </c:dPt>
                <c:dPt>
                  <c:idx val="61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77-E1EB-456A-BEBE-EF697796FB60}"/>
                    </c:ext>
                  </c:extLst>
                </c:dPt>
                <c:dPt>
                  <c:idx val="61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79-E1EB-456A-BEBE-EF697796FB60}"/>
                    </c:ext>
                  </c:extLst>
                </c:dPt>
                <c:dPt>
                  <c:idx val="61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7B-E1EB-456A-BEBE-EF697796FB60}"/>
                    </c:ext>
                  </c:extLst>
                </c:dPt>
                <c:dPt>
                  <c:idx val="61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7D-E1EB-456A-BEBE-EF697796FB60}"/>
                    </c:ext>
                  </c:extLst>
                </c:dPt>
                <c:dPt>
                  <c:idx val="61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7F-E1EB-456A-BEBE-EF697796FB60}"/>
                    </c:ext>
                  </c:extLst>
                </c:dPt>
                <c:dPt>
                  <c:idx val="61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81-E1EB-456A-BEBE-EF697796FB60}"/>
                    </c:ext>
                  </c:extLst>
                </c:dPt>
                <c:dPt>
                  <c:idx val="61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83-E1EB-456A-BEBE-EF697796FB60}"/>
                    </c:ext>
                  </c:extLst>
                </c:dPt>
                <c:dPt>
                  <c:idx val="61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85-E1EB-456A-BEBE-EF697796FB60}"/>
                    </c:ext>
                  </c:extLst>
                </c:dPt>
                <c:dPt>
                  <c:idx val="61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87-E1EB-456A-BEBE-EF697796FB60}"/>
                    </c:ext>
                  </c:extLst>
                </c:dPt>
                <c:dPt>
                  <c:idx val="62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89-E1EB-456A-BEBE-EF697796FB60}"/>
                    </c:ext>
                  </c:extLst>
                </c:dPt>
                <c:dPt>
                  <c:idx val="62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8B-E1EB-456A-BEBE-EF697796FB60}"/>
                    </c:ext>
                  </c:extLst>
                </c:dPt>
                <c:dPt>
                  <c:idx val="62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8D-E1EB-456A-BEBE-EF697796FB60}"/>
                    </c:ext>
                  </c:extLst>
                </c:dPt>
                <c:dPt>
                  <c:idx val="62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8F-E1EB-456A-BEBE-EF697796FB60}"/>
                    </c:ext>
                  </c:extLst>
                </c:dPt>
                <c:dPt>
                  <c:idx val="62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91-E1EB-456A-BEBE-EF697796FB60}"/>
                    </c:ext>
                  </c:extLst>
                </c:dPt>
                <c:dPt>
                  <c:idx val="62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93-E1EB-456A-BEBE-EF697796FB60}"/>
                    </c:ext>
                  </c:extLst>
                </c:dPt>
                <c:dPt>
                  <c:idx val="62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95-E1EB-456A-BEBE-EF697796FB60}"/>
                    </c:ext>
                  </c:extLst>
                </c:dPt>
                <c:dPt>
                  <c:idx val="62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97-E1EB-456A-BEBE-EF697796FB60}"/>
                    </c:ext>
                  </c:extLst>
                </c:dPt>
                <c:dPt>
                  <c:idx val="62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99-E1EB-456A-BEBE-EF697796FB60}"/>
                    </c:ext>
                  </c:extLst>
                </c:dPt>
                <c:dPt>
                  <c:idx val="62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9B-E1EB-456A-BEBE-EF697796FB60}"/>
                    </c:ext>
                  </c:extLst>
                </c:dPt>
                <c:dPt>
                  <c:idx val="63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9D-E1EB-456A-BEBE-EF697796FB60}"/>
                    </c:ext>
                  </c:extLst>
                </c:dPt>
                <c:dPt>
                  <c:idx val="63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9F-E1EB-456A-BEBE-EF697796FB60}"/>
                    </c:ext>
                  </c:extLst>
                </c:dPt>
                <c:dPt>
                  <c:idx val="63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A1-E1EB-456A-BEBE-EF697796FB60}"/>
                    </c:ext>
                  </c:extLst>
                </c:dPt>
                <c:dPt>
                  <c:idx val="63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A3-E1EB-456A-BEBE-EF697796FB60}"/>
                    </c:ext>
                  </c:extLst>
                </c:dPt>
                <c:dPt>
                  <c:idx val="63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A5-E1EB-456A-BEBE-EF697796FB60}"/>
                    </c:ext>
                  </c:extLst>
                </c:dPt>
                <c:dPt>
                  <c:idx val="63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A7-E1EB-456A-BEBE-EF697796FB60}"/>
                    </c:ext>
                  </c:extLst>
                </c:dPt>
                <c:dPt>
                  <c:idx val="63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A9-E1EB-456A-BEBE-EF697796FB60}"/>
                    </c:ext>
                  </c:extLst>
                </c:dPt>
                <c:dPt>
                  <c:idx val="63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AB-E1EB-456A-BEBE-EF697796FB60}"/>
                    </c:ext>
                  </c:extLst>
                </c:dPt>
                <c:dPt>
                  <c:idx val="63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AD-E1EB-456A-BEBE-EF697796FB60}"/>
                    </c:ext>
                  </c:extLst>
                </c:dPt>
                <c:dPt>
                  <c:idx val="63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AF-E1EB-456A-BEBE-EF697796FB60}"/>
                    </c:ext>
                  </c:extLst>
                </c:dPt>
                <c:dPt>
                  <c:idx val="64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B1-E1EB-456A-BEBE-EF697796FB60}"/>
                    </c:ext>
                  </c:extLst>
                </c:dPt>
                <c:dPt>
                  <c:idx val="64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B3-E1EB-456A-BEBE-EF697796FB60}"/>
                    </c:ext>
                  </c:extLst>
                </c:dPt>
                <c:dPt>
                  <c:idx val="64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B5-E1EB-456A-BEBE-EF697796FB60}"/>
                    </c:ext>
                  </c:extLst>
                </c:dPt>
                <c:dPt>
                  <c:idx val="64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B7-E1EB-456A-BEBE-EF697796FB60}"/>
                    </c:ext>
                  </c:extLst>
                </c:dPt>
                <c:dPt>
                  <c:idx val="64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B9-E1EB-456A-BEBE-EF697796FB60}"/>
                    </c:ext>
                  </c:extLst>
                </c:dPt>
                <c:dPt>
                  <c:idx val="64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BB-E1EB-456A-BEBE-EF697796FB60}"/>
                    </c:ext>
                  </c:extLst>
                </c:dPt>
                <c:dPt>
                  <c:idx val="64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BD-E1EB-456A-BEBE-EF697796FB60}"/>
                    </c:ext>
                  </c:extLst>
                </c:dPt>
                <c:dPt>
                  <c:idx val="64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BF-E1EB-456A-BEBE-EF697796FB60}"/>
                    </c:ext>
                  </c:extLst>
                </c:dPt>
                <c:dPt>
                  <c:idx val="64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C1-E1EB-456A-BEBE-EF697796FB60}"/>
                    </c:ext>
                  </c:extLst>
                </c:dPt>
                <c:dPt>
                  <c:idx val="64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C3-E1EB-456A-BEBE-EF697796FB60}"/>
                    </c:ext>
                  </c:extLst>
                </c:dPt>
                <c:dPt>
                  <c:idx val="65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C5-E1EB-456A-BEBE-EF697796FB60}"/>
                    </c:ext>
                  </c:extLst>
                </c:dPt>
                <c:dPt>
                  <c:idx val="65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C7-E1EB-456A-BEBE-EF697796FB60}"/>
                    </c:ext>
                  </c:extLst>
                </c:dPt>
                <c:dPt>
                  <c:idx val="65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C9-E1EB-456A-BEBE-EF697796FB60}"/>
                    </c:ext>
                  </c:extLst>
                </c:dPt>
                <c:dPt>
                  <c:idx val="65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CB-E1EB-456A-BEBE-EF697796FB60}"/>
                    </c:ext>
                  </c:extLst>
                </c:dPt>
                <c:dPt>
                  <c:idx val="65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CD-E1EB-456A-BEBE-EF697796FB60}"/>
                    </c:ext>
                  </c:extLst>
                </c:dPt>
                <c:dPt>
                  <c:idx val="65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CF-E1EB-456A-BEBE-EF697796FB60}"/>
                    </c:ext>
                  </c:extLst>
                </c:dPt>
                <c:dPt>
                  <c:idx val="65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D1-E1EB-456A-BEBE-EF697796FB60}"/>
                    </c:ext>
                  </c:extLst>
                </c:dPt>
                <c:dPt>
                  <c:idx val="65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D3-E1EB-456A-BEBE-EF697796FB60}"/>
                    </c:ext>
                  </c:extLst>
                </c:dPt>
                <c:dPt>
                  <c:idx val="65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D5-E1EB-456A-BEBE-EF697796FB60}"/>
                    </c:ext>
                  </c:extLst>
                </c:dPt>
                <c:dPt>
                  <c:idx val="65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D7-E1EB-456A-BEBE-EF697796FB60}"/>
                    </c:ext>
                  </c:extLst>
                </c:dPt>
                <c:dPt>
                  <c:idx val="66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D9-E1EB-456A-BEBE-EF697796FB60}"/>
                    </c:ext>
                  </c:extLst>
                </c:dPt>
                <c:dPt>
                  <c:idx val="66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DB-E1EB-456A-BEBE-EF697796FB60}"/>
                    </c:ext>
                  </c:extLst>
                </c:dPt>
                <c:dPt>
                  <c:idx val="66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DD-E1EB-456A-BEBE-EF697796FB60}"/>
                    </c:ext>
                  </c:extLst>
                </c:dPt>
                <c:dPt>
                  <c:idx val="66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DF-E1EB-456A-BEBE-EF697796FB60}"/>
                    </c:ext>
                  </c:extLst>
                </c:dPt>
                <c:dPt>
                  <c:idx val="66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E1-E1EB-456A-BEBE-EF697796FB60}"/>
                    </c:ext>
                  </c:extLst>
                </c:dPt>
                <c:dPt>
                  <c:idx val="66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E3-E1EB-456A-BEBE-EF697796FB60}"/>
                    </c:ext>
                  </c:extLst>
                </c:dPt>
                <c:dPt>
                  <c:idx val="66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E5-E1EB-456A-BEBE-EF697796FB60}"/>
                    </c:ext>
                  </c:extLst>
                </c:dPt>
                <c:dPt>
                  <c:idx val="66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E7-E1EB-456A-BEBE-EF697796FB60}"/>
                    </c:ext>
                  </c:extLst>
                </c:dPt>
                <c:dPt>
                  <c:idx val="66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E9-E1EB-456A-BEBE-EF697796FB60}"/>
                    </c:ext>
                  </c:extLst>
                </c:dPt>
                <c:dPt>
                  <c:idx val="66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EB-E1EB-456A-BEBE-EF697796FB60}"/>
                    </c:ext>
                  </c:extLst>
                </c:dPt>
                <c:dPt>
                  <c:idx val="67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ED-E1EB-456A-BEBE-EF697796FB60}"/>
                    </c:ext>
                  </c:extLst>
                </c:dPt>
                <c:dPt>
                  <c:idx val="67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EF-E1EB-456A-BEBE-EF697796FB60}"/>
                    </c:ext>
                  </c:extLst>
                </c:dPt>
                <c:dPt>
                  <c:idx val="67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F1-E1EB-456A-BEBE-EF697796FB60}"/>
                    </c:ext>
                  </c:extLst>
                </c:dPt>
                <c:dPt>
                  <c:idx val="67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F3-E1EB-456A-BEBE-EF697796FB60}"/>
                    </c:ext>
                  </c:extLst>
                </c:dPt>
                <c:dPt>
                  <c:idx val="67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F5-E1EB-456A-BEBE-EF697796FB60}"/>
                    </c:ext>
                  </c:extLst>
                </c:dPt>
                <c:dPt>
                  <c:idx val="67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F7-E1EB-456A-BEBE-EF697796FB60}"/>
                    </c:ext>
                  </c:extLst>
                </c:dPt>
                <c:dPt>
                  <c:idx val="67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F9-E1EB-456A-BEBE-EF697796FB60}"/>
                    </c:ext>
                  </c:extLst>
                </c:dPt>
                <c:dPt>
                  <c:idx val="67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FB-E1EB-456A-BEBE-EF697796FB60}"/>
                    </c:ext>
                  </c:extLst>
                </c:dPt>
                <c:dPt>
                  <c:idx val="67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FD-E1EB-456A-BEBE-EF697796FB60}"/>
                    </c:ext>
                  </c:extLst>
                </c:dPt>
                <c:dPt>
                  <c:idx val="67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FF-E1EB-456A-BEBE-EF697796FB60}"/>
                    </c:ext>
                  </c:extLst>
                </c:dPt>
                <c:dPt>
                  <c:idx val="68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01-E1EB-456A-BEBE-EF697796FB60}"/>
                    </c:ext>
                  </c:extLst>
                </c:dPt>
                <c:dPt>
                  <c:idx val="68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03-E1EB-456A-BEBE-EF697796FB60}"/>
                    </c:ext>
                  </c:extLst>
                </c:dPt>
                <c:dPt>
                  <c:idx val="68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05-E1EB-456A-BEBE-EF697796FB60}"/>
                    </c:ext>
                  </c:extLst>
                </c:dPt>
                <c:dPt>
                  <c:idx val="68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07-E1EB-456A-BEBE-EF697796FB60}"/>
                    </c:ext>
                  </c:extLst>
                </c:dPt>
                <c:dPt>
                  <c:idx val="68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09-E1EB-456A-BEBE-EF697796FB60}"/>
                    </c:ext>
                  </c:extLst>
                </c:dPt>
                <c:dPt>
                  <c:idx val="68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0B-E1EB-456A-BEBE-EF697796FB60}"/>
                    </c:ext>
                  </c:extLst>
                </c:dPt>
                <c:dPt>
                  <c:idx val="68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0D-E1EB-456A-BEBE-EF697796FB60}"/>
                    </c:ext>
                  </c:extLst>
                </c:dPt>
                <c:dPt>
                  <c:idx val="68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0F-E1EB-456A-BEBE-EF697796FB60}"/>
                    </c:ext>
                  </c:extLst>
                </c:dPt>
                <c:dPt>
                  <c:idx val="68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11-E1EB-456A-BEBE-EF697796FB60}"/>
                    </c:ext>
                  </c:extLst>
                </c:dPt>
                <c:dPt>
                  <c:idx val="68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13-E1EB-456A-BEBE-EF697796FB60}"/>
                    </c:ext>
                  </c:extLst>
                </c:dPt>
                <c:dPt>
                  <c:idx val="69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15-E1EB-456A-BEBE-EF697796FB60}"/>
                    </c:ext>
                  </c:extLst>
                </c:dPt>
                <c:dPt>
                  <c:idx val="69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17-E1EB-456A-BEBE-EF697796FB60}"/>
                    </c:ext>
                  </c:extLst>
                </c:dPt>
                <c:dPt>
                  <c:idx val="69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19-E1EB-456A-BEBE-EF697796FB60}"/>
                    </c:ext>
                  </c:extLst>
                </c:dPt>
                <c:dPt>
                  <c:idx val="69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1B-E1EB-456A-BEBE-EF697796FB60}"/>
                    </c:ext>
                  </c:extLst>
                </c:dPt>
                <c:dPt>
                  <c:idx val="69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1D-E1EB-456A-BEBE-EF697796FB60}"/>
                    </c:ext>
                  </c:extLst>
                </c:dPt>
                <c:dPt>
                  <c:idx val="69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1F-E1EB-456A-BEBE-EF697796FB60}"/>
                    </c:ext>
                  </c:extLst>
                </c:dPt>
                <c:dPt>
                  <c:idx val="69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21-E1EB-456A-BEBE-EF697796FB60}"/>
                    </c:ext>
                  </c:extLst>
                </c:dPt>
                <c:dPt>
                  <c:idx val="69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23-E1EB-456A-BEBE-EF697796FB60}"/>
                    </c:ext>
                  </c:extLst>
                </c:dPt>
                <c:dPt>
                  <c:idx val="69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25-E1EB-456A-BEBE-EF697796FB60}"/>
                    </c:ext>
                  </c:extLst>
                </c:dPt>
                <c:dPt>
                  <c:idx val="69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27-E1EB-456A-BEBE-EF697796FB60}"/>
                    </c:ext>
                  </c:extLst>
                </c:dPt>
                <c:dPt>
                  <c:idx val="70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29-E1EB-456A-BEBE-EF697796FB60}"/>
                    </c:ext>
                  </c:extLst>
                </c:dPt>
                <c:dPt>
                  <c:idx val="70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2B-E1EB-456A-BEBE-EF697796FB60}"/>
                    </c:ext>
                  </c:extLst>
                </c:dPt>
                <c:dPt>
                  <c:idx val="70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2D-E1EB-456A-BEBE-EF697796FB60}"/>
                    </c:ext>
                  </c:extLst>
                </c:dPt>
                <c:dPt>
                  <c:idx val="70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2F-E1EB-456A-BEBE-EF697796FB60}"/>
                    </c:ext>
                  </c:extLst>
                </c:dPt>
                <c:dPt>
                  <c:idx val="70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31-E1EB-456A-BEBE-EF697796FB60}"/>
                    </c:ext>
                  </c:extLst>
                </c:dPt>
                <c:dPt>
                  <c:idx val="70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33-E1EB-456A-BEBE-EF697796FB60}"/>
                    </c:ext>
                  </c:extLst>
                </c:dPt>
                <c:dPt>
                  <c:idx val="70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35-E1EB-456A-BEBE-EF697796FB60}"/>
                    </c:ext>
                  </c:extLst>
                </c:dPt>
                <c:dPt>
                  <c:idx val="70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37-E1EB-456A-BEBE-EF697796FB60}"/>
                    </c:ext>
                  </c:extLst>
                </c:dPt>
                <c:dPt>
                  <c:idx val="70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39-E1EB-456A-BEBE-EF697796FB60}"/>
                    </c:ext>
                  </c:extLst>
                </c:dPt>
                <c:dPt>
                  <c:idx val="70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3B-E1EB-456A-BEBE-EF697796FB60}"/>
                    </c:ext>
                  </c:extLst>
                </c:dPt>
                <c:dPt>
                  <c:idx val="71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3D-E1EB-456A-BEBE-EF697796FB60}"/>
                    </c:ext>
                  </c:extLst>
                </c:dPt>
                <c:dPt>
                  <c:idx val="71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3F-E1EB-456A-BEBE-EF697796FB60}"/>
                    </c:ext>
                  </c:extLst>
                </c:dPt>
                <c:dPt>
                  <c:idx val="71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41-E1EB-456A-BEBE-EF697796FB60}"/>
                    </c:ext>
                  </c:extLst>
                </c:dPt>
                <c:dPt>
                  <c:idx val="71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43-E1EB-456A-BEBE-EF697796FB60}"/>
                    </c:ext>
                  </c:extLst>
                </c:dPt>
                <c:dPt>
                  <c:idx val="71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45-E1EB-456A-BEBE-EF697796FB60}"/>
                    </c:ext>
                  </c:extLst>
                </c:dPt>
                <c:dPt>
                  <c:idx val="71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47-E1EB-456A-BEBE-EF697796FB60}"/>
                    </c:ext>
                  </c:extLst>
                </c:dPt>
                <c:dPt>
                  <c:idx val="71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49-E1EB-456A-BEBE-EF697796FB60}"/>
                    </c:ext>
                  </c:extLst>
                </c:dPt>
                <c:dPt>
                  <c:idx val="71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4B-E1EB-456A-BEBE-EF697796FB60}"/>
                    </c:ext>
                  </c:extLst>
                </c:dPt>
                <c:dPt>
                  <c:idx val="71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4D-E1EB-456A-BEBE-EF697796FB60}"/>
                    </c:ext>
                  </c:extLst>
                </c:dPt>
                <c:dPt>
                  <c:idx val="71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4F-E1EB-456A-BEBE-EF697796FB60}"/>
                    </c:ext>
                  </c:extLst>
                </c:dPt>
                <c:dPt>
                  <c:idx val="72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51-E1EB-456A-BEBE-EF697796FB60}"/>
                    </c:ext>
                  </c:extLst>
                </c:dPt>
                <c:dPt>
                  <c:idx val="72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53-E1EB-456A-BEBE-EF697796FB60}"/>
                    </c:ext>
                  </c:extLst>
                </c:dPt>
                <c:dPt>
                  <c:idx val="72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55-E1EB-456A-BEBE-EF697796FB60}"/>
                    </c:ext>
                  </c:extLst>
                </c:dPt>
                <c:dPt>
                  <c:idx val="72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57-E1EB-456A-BEBE-EF697796FB60}"/>
                    </c:ext>
                  </c:extLst>
                </c:dPt>
                <c:dPt>
                  <c:idx val="72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59-E1EB-456A-BEBE-EF697796FB60}"/>
                    </c:ext>
                  </c:extLst>
                </c:dPt>
                <c:dPt>
                  <c:idx val="72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5B-E1EB-456A-BEBE-EF697796FB60}"/>
                    </c:ext>
                  </c:extLst>
                </c:dPt>
                <c:dPt>
                  <c:idx val="72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5D-E1EB-456A-BEBE-EF697796FB60}"/>
                    </c:ext>
                  </c:extLst>
                </c:dPt>
                <c:dPt>
                  <c:idx val="72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5F-E1EB-456A-BEBE-EF697796FB60}"/>
                    </c:ext>
                  </c:extLst>
                </c:dPt>
                <c:dPt>
                  <c:idx val="72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61-E1EB-456A-BEBE-EF697796FB60}"/>
                    </c:ext>
                  </c:extLst>
                </c:dPt>
                <c:dPt>
                  <c:idx val="72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63-E1EB-456A-BEBE-EF697796FB60}"/>
                    </c:ext>
                  </c:extLst>
                </c:dPt>
                <c:dPt>
                  <c:idx val="73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65-E1EB-456A-BEBE-EF697796FB60}"/>
                    </c:ext>
                  </c:extLst>
                </c:dPt>
                <c:dPt>
                  <c:idx val="73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67-E1EB-456A-BEBE-EF697796FB60}"/>
                    </c:ext>
                  </c:extLst>
                </c:dPt>
                <c:dPt>
                  <c:idx val="73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69-E1EB-456A-BEBE-EF697796FB60}"/>
                    </c:ext>
                  </c:extLst>
                </c:dPt>
                <c:dPt>
                  <c:idx val="73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6B-E1EB-456A-BEBE-EF697796FB60}"/>
                    </c:ext>
                  </c:extLst>
                </c:dPt>
                <c:dPt>
                  <c:idx val="73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6D-E1EB-456A-BEBE-EF697796FB60}"/>
                    </c:ext>
                  </c:extLst>
                </c:dPt>
                <c:dPt>
                  <c:idx val="73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6F-E1EB-456A-BEBE-EF697796FB60}"/>
                    </c:ext>
                  </c:extLst>
                </c:dPt>
                <c:dPt>
                  <c:idx val="73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71-E1EB-456A-BEBE-EF697796FB60}"/>
                    </c:ext>
                  </c:extLst>
                </c:dPt>
                <c:dPt>
                  <c:idx val="73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73-E1EB-456A-BEBE-EF697796FB60}"/>
                    </c:ext>
                  </c:extLst>
                </c:dPt>
                <c:dPt>
                  <c:idx val="73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75-E1EB-456A-BEBE-EF697796FB60}"/>
                    </c:ext>
                  </c:extLst>
                </c:dPt>
                <c:dPt>
                  <c:idx val="73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77-E1EB-456A-BEBE-EF697796FB60}"/>
                    </c:ext>
                  </c:extLst>
                </c:dPt>
                <c:dPt>
                  <c:idx val="74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79-E1EB-456A-BEBE-EF697796FB60}"/>
                    </c:ext>
                  </c:extLst>
                </c:dPt>
                <c:dPt>
                  <c:idx val="74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7B-E1EB-456A-BEBE-EF697796FB60}"/>
                    </c:ext>
                  </c:extLst>
                </c:dPt>
                <c:dPt>
                  <c:idx val="74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7D-E1EB-456A-BEBE-EF697796FB60}"/>
                    </c:ext>
                  </c:extLst>
                </c:dPt>
                <c:dPt>
                  <c:idx val="74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7F-E1EB-456A-BEBE-EF697796FB60}"/>
                    </c:ext>
                  </c:extLst>
                </c:dPt>
                <c:dPt>
                  <c:idx val="74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81-E1EB-456A-BEBE-EF697796FB60}"/>
                    </c:ext>
                  </c:extLst>
                </c:dPt>
                <c:dPt>
                  <c:idx val="74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83-E1EB-456A-BEBE-EF697796FB60}"/>
                    </c:ext>
                  </c:extLst>
                </c:dPt>
                <c:dPt>
                  <c:idx val="74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85-E1EB-456A-BEBE-EF697796FB60}"/>
                    </c:ext>
                  </c:extLst>
                </c:dPt>
                <c:dPt>
                  <c:idx val="74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87-E1EB-456A-BEBE-EF697796FB60}"/>
                    </c:ext>
                  </c:extLst>
                </c:dPt>
                <c:dPt>
                  <c:idx val="74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89-E1EB-456A-BEBE-EF697796FB60}"/>
                    </c:ext>
                  </c:extLst>
                </c:dPt>
                <c:dPt>
                  <c:idx val="74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8B-E1EB-456A-BEBE-EF697796FB60}"/>
                    </c:ext>
                  </c:extLst>
                </c:dPt>
                <c:dPt>
                  <c:idx val="75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8D-E1EB-456A-BEBE-EF697796FB60}"/>
                    </c:ext>
                  </c:extLst>
                </c:dPt>
                <c:dPt>
                  <c:idx val="75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8F-E1EB-456A-BEBE-EF697796FB60}"/>
                    </c:ext>
                  </c:extLst>
                </c:dPt>
                <c:dPt>
                  <c:idx val="75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91-E1EB-456A-BEBE-EF697796FB60}"/>
                    </c:ext>
                  </c:extLst>
                </c:dPt>
                <c:dPt>
                  <c:idx val="75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93-E1EB-456A-BEBE-EF697796FB60}"/>
                    </c:ext>
                  </c:extLst>
                </c:dPt>
                <c:dPt>
                  <c:idx val="75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95-E1EB-456A-BEBE-EF697796FB60}"/>
                    </c:ext>
                  </c:extLst>
                </c:dPt>
                <c:dPt>
                  <c:idx val="75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97-E1EB-456A-BEBE-EF697796FB60}"/>
                    </c:ext>
                  </c:extLst>
                </c:dPt>
                <c:dPt>
                  <c:idx val="75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99-E1EB-456A-BEBE-EF697796FB60}"/>
                    </c:ext>
                  </c:extLst>
                </c:dPt>
                <c:dPt>
                  <c:idx val="75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9B-E1EB-456A-BEBE-EF697796FB60}"/>
                    </c:ext>
                  </c:extLst>
                </c:dPt>
                <c:dPt>
                  <c:idx val="75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9D-E1EB-456A-BEBE-EF697796FB60}"/>
                    </c:ext>
                  </c:extLst>
                </c:dPt>
                <c:dPt>
                  <c:idx val="75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9F-E1EB-456A-BEBE-EF697796FB60}"/>
                    </c:ext>
                  </c:extLst>
                </c:dPt>
                <c:dPt>
                  <c:idx val="76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A1-E1EB-456A-BEBE-EF697796FB60}"/>
                    </c:ext>
                  </c:extLst>
                </c:dPt>
                <c:dPt>
                  <c:idx val="76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A3-E1EB-456A-BEBE-EF697796FB60}"/>
                    </c:ext>
                  </c:extLst>
                </c:dPt>
                <c:dPt>
                  <c:idx val="76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A5-E1EB-456A-BEBE-EF697796FB60}"/>
                    </c:ext>
                  </c:extLst>
                </c:dPt>
                <c:dPt>
                  <c:idx val="76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A7-E1EB-456A-BEBE-EF697796FB60}"/>
                    </c:ext>
                  </c:extLst>
                </c:dPt>
                <c:dPt>
                  <c:idx val="76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A9-E1EB-456A-BEBE-EF697796FB60}"/>
                    </c:ext>
                  </c:extLst>
                </c:dPt>
                <c:dPt>
                  <c:idx val="76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AB-E1EB-456A-BEBE-EF697796FB60}"/>
                    </c:ext>
                  </c:extLst>
                </c:dPt>
                <c:dPt>
                  <c:idx val="76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AD-E1EB-456A-BEBE-EF697796FB60}"/>
                    </c:ext>
                  </c:extLst>
                </c:dPt>
                <c:dPt>
                  <c:idx val="76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AF-E1EB-456A-BEBE-EF697796FB60}"/>
                    </c:ext>
                  </c:extLst>
                </c:dPt>
                <c:dPt>
                  <c:idx val="76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B1-E1EB-456A-BEBE-EF697796FB60}"/>
                    </c:ext>
                  </c:extLst>
                </c:dPt>
                <c:dPt>
                  <c:idx val="76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B3-E1EB-456A-BEBE-EF697796FB60}"/>
                    </c:ext>
                  </c:extLst>
                </c:dPt>
                <c:dPt>
                  <c:idx val="77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B5-E1EB-456A-BEBE-EF697796FB60}"/>
                    </c:ext>
                  </c:extLst>
                </c:dPt>
                <c:dPt>
                  <c:idx val="77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B7-E1EB-456A-BEBE-EF697796FB60}"/>
                    </c:ext>
                  </c:extLst>
                </c:dPt>
                <c:dPt>
                  <c:idx val="77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B9-E1EB-456A-BEBE-EF697796FB60}"/>
                    </c:ext>
                  </c:extLst>
                </c:dPt>
                <c:dPt>
                  <c:idx val="77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BB-E1EB-456A-BEBE-EF697796FB60}"/>
                    </c:ext>
                  </c:extLst>
                </c:dPt>
                <c:dPt>
                  <c:idx val="77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BD-E1EB-456A-BEBE-EF697796FB60}"/>
                    </c:ext>
                  </c:extLst>
                </c:dPt>
                <c:dPt>
                  <c:idx val="77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BF-E1EB-456A-BEBE-EF697796FB60}"/>
                    </c:ext>
                  </c:extLst>
                </c:dPt>
                <c:dPt>
                  <c:idx val="77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C1-E1EB-456A-BEBE-EF697796FB60}"/>
                    </c:ext>
                  </c:extLst>
                </c:dPt>
                <c:dPt>
                  <c:idx val="77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C3-E1EB-456A-BEBE-EF697796FB60}"/>
                    </c:ext>
                  </c:extLst>
                </c:dPt>
                <c:dPt>
                  <c:idx val="77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C5-E1EB-456A-BEBE-EF697796FB60}"/>
                    </c:ext>
                  </c:extLst>
                </c:dPt>
                <c:dPt>
                  <c:idx val="77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C7-E1EB-456A-BEBE-EF697796FB60}"/>
                    </c:ext>
                  </c:extLst>
                </c:dPt>
                <c:dPt>
                  <c:idx val="78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C9-E1EB-456A-BEBE-EF697796FB60}"/>
                    </c:ext>
                  </c:extLst>
                </c:dPt>
                <c:dPt>
                  <c:idx val="78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CB-E1EB-456A-BEBE-EF697796FB60}"/>
                    </c:ext>
                  </c:extLst>
                </c:dPt>
                <c:dPt>
                  <c:idx val="78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CD-E1EB-456A-BEBE-EF697796FB60}"/>
                    </c:ext>
                  </c:extLst>
                </c:dPt>
                <c:dPt>
                  <c:idx val="78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CF-E1EB-456A-BEBE-EF697796FB60}"/>
                    </c:ext>
                  </c:extLst>
                </c:dPt>
                <c:dPt>
                  <c:idx val="78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D1-E1EB-456A-BEBE-EF697796FB60}"/>
                    </c:ext>
                  </c:extLst>
                </c:dPt>
                <c:dPt>
                  <c:idx val="78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D3-E1EB-456A-BEBE-EF697796FB60}"/>
                    </c:ext>
                  </c:extLst>
                </c:dPt>
                <c:dPt>
                  <c:idx val="78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D5-E1EB-456A-BEBE-EF697796FB60}"/>
                    </c:ext>
                  </c:extLst>
                </c:dPt>
                <c:dPt>
                  <c:idx val="78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D7-E1EB-456A-BEBE-EF697796FB60}"/>
                    </c:ext>
                  </c:extLst>
                </c:dPt>
                <c:dPt>
                  <c:idx val="78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D9-E1EB-456A-BEBE-EF697796FB60}"/>
                    </c:ext>
                  </c:extLst>
                </c:dPt>
                <c:dPt>
                  <c:idx val="78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DB-E1EB-456A-BEBE-EF697796FB60}"/>
                    </c:ext>
                  </c:extLst>
                </c:dPt>
                <c:dPt>
                  <c:idx val="79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DD-E1EB-456A-BEBE-EF697796FB60}"/>
                    </c:ext>
                  </c:extLst>
                </c:dPt>
                <c:dPt>
                  <c:idx val="79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DF-E1EB-456A-BEBE-EF697796FB60}"/>
                    </c:ext>
                  </c:extLst>
                </c:dPt>
                <c:dPt>
                  <c:idx val="79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E1-E1EB-456A-BEBE-EF697796FB60}"/>
                    </c:ext>
                  </c:extLst>
                </c:dPt>
                <c:dPt>
                  <c:idx val="79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E3-E1EB-456A-BEBE-EF697796FB60}"/>
                    </c:ext>
                  </c:extLst>
                </c:dPt>
                <c:dPt>
                  <c:idx val="79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E5-E1EB-456A-BEBE-EF697796FB60}"/>
                    </c:ext>
                  </c:extLst>
                </c:dPt>
                <c:dPt>
                  <c:idx val="79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E7-E1EB-456A-BEBE-EF697796FB60}"/>
                    </c:ext>
                  </c:extLst>
                </c:dPt>
                <c:dPt>
                  <c:idx val="79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E9-E1EB-456A-BEBE-EF697796FB60}"/>
                    </c:ext>
                  </c:extLst>
                </c:dPt>
                <c:dPt>
                  <c:idx val="79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EB-E1EB-456A-BEBE-EF697796FB60}"/>
                    </c:ext>
                  </c:extLst>
                </c:dPt>
                <c:dPt>
                  <c:idx val="79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ED-E1EB-456A-BEBE-EF697796FB60}"/>
                    </c:ext>
                  </c:extLst>
                </c:dPt>
                <c:dPt>
                  <c:idx val="79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EF-E1EB-456A-BEBE-EF697796FB60}"/>
                    </c:ext>
                  </c:extLst>
                </c:dPt>
                <c:dPt>
                  <c:idx val="80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F1-E1EB-456A-BEBE-EF697796FB60}"/>
                    </c:ext>
                  </c:extLst>
                </c:dPt>
                <c:dPt>
                  <c:idx val="80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F3-E1EB-456A-BEBE-EF697796FB60}"/>
                    </c:ext>
                  </c:extLst>
                </c:dPt>
                <c:dPt>
                  <c:idx val="80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F5-E1EB-456A-BEBE-EF697796FB60}"/>
                    </c:ext>
                  </c:extLst>
                </c:dPt>
                <c:dPt>
                  <c:idx val="80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F7-E1EB-456A-BEBE-EF697796FB60}"/>
                    </c:ext>
                  </c:extLst>
                </c:dPt>
                <c:dPt>
                  <c:idx val="80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F9-E1EB-456A-BEBE-EF697796FB60}"/>
                    </c:ext>
                  </c:extLst>
                </c:dPt>
                <c:dPt>
                  <c:idx val="80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FB-E1EB-456A-BEBE-EF697796FB60}"/>
                    </c:ext>
                  </c:extLst>
                </c:dPt>
                <c:dPt>
                  <c:idx val="80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FD-E1EB-456A-BEBE-EF697796FB60}"/>
                    </c:ext>
                  </c:extLst>
                </c:dPt>
                <c:dPt>
                  <c:idx val="80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FF-E1EB-456A-BEBE-EF697796FB60}"/>
                    </c:ext>
                  </c:extLst>
                </c:dPt>
                <c:dPt>
                  <c:idx val="80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01-E1EB-456A-BEBE-EF697796FB60}"/>
                    </c:ext>
                  </c:extLst>
                </c:dPt>
                <c:dPt>
                  <c:idx val="80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03-E1EB-456A-BEBE-EF697796FB60}"/>
                    </c:ext>
                  </c:extLst>
                </c:dPt>
                <c:dPt>
                  <c:idx val="81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05-E1EB-456A-BEBE-EF697796FB60}"/>
                    </c:ext>
                  </c:extLst>
                </c:dPt>
                <c:dPt>
                  <c:idx val="81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07-E1EB-456A-BEBE-EF697796FB60}"/>
                    </c:ext>
                  </c:extLst>
                </c:dPt>
                <c:dPt>
                  <c:idx val="81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09-E1EB-456A-BEBE-EF697796FB60}"/>
                    </c:ext>
                  </c:extLst>
                </c:dPt>
                <c:dPt>
                  <c:idx val="81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0B-E1EB-456A-BEBE-EF697796FB60}"/>
                    </c:ext>
                  </c:extLst>
                </c:dPt>
                <c:dPt>
                  <c:idx val="81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0D-E1EB-456A-BEBE-EF697796FB60}"/>
                    </c:ext>
                  </c:extLst>
                </c:dPt>
                <c:dPt>
                  <c:idx val="81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0F-E1EB-456A-BEBE-EF697796FB60}"/>
                    </c:ext>
                  </c:extLst>
                </c:dPt>
                <c:dPt>
                  <c:idx val="81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11-E1EB-456A-BEBE-EF697796FB60}"/>
                    </c:ext>
                  </c:extLst>
                </c:dPt>
                <c:dPt>
                  <c:idx val="81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13-E1EB-456A-BEBE-EF697796FB60}"/>
                    </c:ext>
                  </c:extLst>
                </c:dPt>
                <c:dPt>
                  <c:idx val="81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15-E1EB-456A-BEBE-EF697796FB60}"/>
                    </c:ext>
                  </c:extLst>
                </c:dPt>
                <c:dPt>
                  <c:idx val="81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17-E1EB-456A-BEBE-EF697796FB60}"/>
                    </c:ext>
                  </c:extLst>
                </c:dPt>
                <c:dPt>
                  <c:idx val="82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19-E1EB-456A-BEBE-EF697796FB60}"/>
                    </c:ext>
                  </c:extLst>
                </c:dPt>
                <c:dPt>
                  <c:idx val="82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1B-E1EB-456A-BEBE-EF697796FB60}"/>
                    </c:ext>
                  </c:extLst>
                </c:dPt>
                <c:dPt>
                  <c:idx val="82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1D-E1EB-456A-BEBE-EF697796FB60}"/>
                    </c:ext>
                  </c:extLst>
                </c:dPt>
                <c:dPt>
                  <c:idx val="82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1F-E1EB-456A-BEBE-EF697796FB60}"/>
                    </c:ext>
                  </c:extLst>
                </c:dPt>
                <c:dPt>
                  <c:idx val="82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21-E1EB-456A-BEBE-EF697796FB60}"/>
                    </c:ext>
                  </c:extLst>
                </c:dPt>
                <c:dPt>
                  <c:idx val="82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23-E1EB-456A-BEBE-EF697796FB60}"/>
                    </c:ext>
                  </c:extLst>
                </c:dPt>
                <c:dPt>
                  <c:idx val="82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25-E1EB-456A-BEBE-EF697796FB60}"/>
                    </c:ext>
                  </c:extLst>
                </c:dPt>
                <c:dPt>
                  <c:idx val="82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27-E1EB-456A-BEBE-EF697796FB60}"/>
                    </c:ext>
                  </c:extLst>
                </c:dPt>
                <c:dPt>
                  <c:idx val="82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29-E1EB-456A-BEBE-EF697796FB60}"/>
                    </c:ext>
                  </c:extLst>
                </c:dPt>
                <c:dPt>
                  <c:idx val="82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2B-E1EB-456A-BEBE-EF697796FB60}"/>
                    </c:ext>
                  </c:extLst>
                </c:dPt>
                <c:dPt>
                  <c:idx val="83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2D-E1EB-456A-BEBE-EF697796FB60}"/>
                    </c:ext>
                  </c:extLst>
                </c:dPt>
                <c:dPt>
                  <c:idx val="83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2F-E1EB-456A-BEBE-EF697796FB60}"/>
                    </c:ext>
                  </c:extLst>
                </c:dPt>
                <c:dPt>
                  <c:idx val="83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31-E1EB-456A-BEBE-EF697796FB60}"/>
                    </c:ext>
                  </c:extLst>
                </c:dPt>
                <c:dPt>
                  <c:idx val="83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33-E1EB-456A-BEBE-EF697796FB60}"/>
                    </c:ext>
                  </c:extLst>
                </c:dPt>
                <c:dPt>
                  <c:idx val="83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35-E1EB-456A-BEBE-EF697796FB60}"/>
                    </c:ext>
                  </c:extLst>
                </c:dPt>
                <c:dPt>
                  <c:idx val="83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37-E1EB-456A-BEBE-EF697796FB60}"/>
                    </c:ext>
                  </c:extLst>
                </c:dPt>
                <c:dPt>
                  <c:idx val="83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39-E1EB-456A-BEBE-EF697796FB60}"/>
                    </c:ext>
                  </c:extLst>
                </c:dPt>
                <c:dPt>
                  <c:idx val="83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3B-E1EB-456A-BEBE-EF697796FB60}"/>
                    </c:ext>
                  </c:extLst>
                </c:dPt>
                <c:dPt>
                  <c:idx val="83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3D-E1EB-456A-BEBE-EF697796FB60}"/>
                    </c:ext>
                  </c:extLst>
                </c:dPt>
                <c:dPt>
                  <c:idx val="83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3F-E1EB-456A-BEBE-EF697796FB60}"/>
                    </c:ext>
                  </c:extLst>
                </c:dPt>
                <c:dPt>
                  <c:idx val="84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41-E1EB-456A-BEBE-EF697796FB60}"/>
                    </c:ext>
                  </c:extLst>
                </c:dPt>
                <c:dPt>
                  <c:idx val="84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43-E1EB-456A-BEBE-EF697796FB60}"/>
                    </c:ext>
                  </c:extLst>
                </c:dPt>
                <c:dPt>
                  <c:idx val="84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45-E1EB-456A-BEBE-EF697796FB60}"/>
                    </c:ext>
                  </c:extLst>
                </c:dPt>
                <c:dPt>
                  <c:idx val="84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47-E1EB-456A-BEBE-EF697796FB60}"/>
                    </c:ext>
                  </c:extLst>
                </c:dPt>
                <c:dPt>
                  <c:idx val="84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49-E1EB-456A-BEBE-EF697796FB60}"/>
                    </c:ext>
                  </c:extLst>
                </c:dPt>
                <c:dPt>
                  <c:idx val="84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4B-E1EB-456A-BEBE-EF697796FB60}"/>
                    </c:ext>
                  </c:extLst>
                </c:dPt>
                <c:dPt>
                  <c:idx val="84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4D-E1EB-456A-BEBE-EF697796FB60}"/>
                    </c:ext>
                  </c:extLst>
                </c:dPt>
                <c:dPt>
                  <c:idx val="84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4F-E1EB-456A-BEBE-EF697796FB60}"/>
                    </c:ext>
                  </c:extLst>
                </c:dPt>
                <c:dPt>
                  <c:idx val="84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51-E1EB-456A-BEBE-EF697796FB60}"/>
                    </c:ext>
                  </c:extLst>
                </c:dPt>
                <c:dPt>
                  <c:idx val="84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53-E1EB-456A-BEBE-EF697796FB60}"/>
                    </c:ext>
                  </c:extLst>
                </c:dPt>
                <c:dPt>
                  <c:idx val="85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55-E1EB-456A-BEBE-EF697796FB60}"/>
                    </c:ext>
                  </c:extLst>
                </c:dPt>
                <c:dPt>
                  <c:idx val="85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57-E1EB-456A-BEBE-EF697796FB60}"/>
                    </c:ext>
                  </c:extLst>
                </c:dPt>
                <c:dPt>
                  <c:idx val="85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59-E1EB-456A-BEBE-EF697796FB60}"/>
                    </c:ext>
                  </c:extLst>
                </c:dPt>
                <c:dPt>
                  <c:idx val="85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5B-E1EB-456A-BEBE-EF697796FB60}"/>
                    </c:ext>
                  </c:extLst>
                </c:dPt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 cap="flat" cmpd="sng" algn="ctr">
                        <a:solidFill>
                          <a:schemeClr val="tx1">
                            <a:lumMod val="35000"/>
                            <a:lumOff val="65000"/>
                          </a:schemeClr>
                        </a:solidFill>
                        <a:round/>
                      </a:ln>
                      <a:effectLst/>
                    </c:spPr>
                  </c:leaderLines>
                  <c:extLst xmlns:c15="http://schemas.microsoft.com/office/drawing/2012/chart">
                    <c:ext xmlns:c15="http://schemas.microsoft.com/office/drawing/2012/chart" uri="{CE6537A1-D6FC-4f65-9D91-7224C49458BB}"/>
                  </c:extLst>
                </c:dLbls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('Données '!$C$199,'Données '!$E$199,'Données '!$G$199,'Données '!$I$199,'Données '!$K$199,'Données '!$M$199,'Données '!$O$199)</c15:sqref>
                        </c15:formulaRef>
                      </c:ext>
                    </c:extLst>
                    <c:strCache>
                      <c:ptCount val="7"/>
                      <c:pt idx="0">
                        <c:v>ESQ ==&gt; APD</c:v>
                      </c:pt>
                      <c:pt idx="1">
                        <c:v>Fin études/AO</c:v>
                      </c:pt>
                      <c:pt idx="2">
                        <c:v>OS</c:v>
                      </c:pt>
                      <c:pt idx="3">
                        <c:v>Travaux</c:v>
                      </c:pt>
                      <c:pt idx="4">
                        <c:v>GPA</c:v>
                      </c:pt>
                      <c:pt idx="5">
                        <c:v>Clôture défisc</c:v>
                      </c:pt>
                      <c:pt idx="6">
                        <c:v>STOP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('Données '!$C$201,'Données '!$E$201,'Données '!$G$201,'Données '!$I$201,'Données '!$K$201,'Données '!$M$201,'Données '!$O$201)</c15:sqref>
                        </c15:formulaRef>
                      </c:ext>
                    </c:extLst>
                    <c:numCache>
                      <c:formatCode>General</c:formatCode>
                      <c:ptCount val="7"/>
                      <c:pt idx="0">
                        <c:v>3</c:v>
                      </c:pt>
                      <c:pt idx="1">
                        <c:v>1</c:v>
                      </c:pt>
                      <c:pt idx="2">
                        <c:v>0</c:v>
                      </c:pt>
                      <c:pt idx="3">
                        <c:v>2</c:v>
                      </c:pt>
                      <c:pt idx="4">
                        <c:v>0</c:v>
                      </c:pt>
                      <c:pt idx="5">
                        <c:v>0</c:v>
                      </c:pt>
                      <c:pt idx="6">
                        <c:v>2</c:v>
                      </c:pt>
                    </c:numCache>
                  </c:numRef>
                </c:val>
                <c:extLst xmlns:c15="http://schemas.microsoft.com/office/drawing/2012/chart">
                  <c:ext xmlns:c16="http://schemas.microsoft.com/office/drawing/2014/chart" uri="{C3380CC4-5D6E-409C-BE32-E72D297353CC}">
                    <c16:uniqueId val="{000003C8-DB9F-452A-82DA-49E825A71C5F}"/>
                  </c:ext>
                </c:extLst>
              </c15:ser>
            </c15:filteredPieSeries>
            <c15:filteredPieSeries>
              <c15:ser>
                <c:idx val="2"/>
                <c:order val="2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'Données '!$B$202</c15:sqref>
                        </c15:formulaRef>
                      </c:ext>
                    </c:extLst>
                    <c:strCache>
                      <c:ptCount val="1"/>
                      <c:pt idx="0">
                        <c:v>MMA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661-1115-4863-B690-D60CB1C70F91}"/>
                    </c:ext>
                  </c:extLst>
                </c:dPt>
                <c:dPt>
                  <c:idx val="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DF-DAB6-45DA-91D4-882BD746BCFB}"/>
                    </c:ext>
                  </c:extLst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11-5EDB-4BE8-B6CB-617A718FFB97}"/>
                    </c:ext>
                  </c:extLst>
                </c:dPt>
                <c:dPt>
                  <c:idx val="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E9-DAF1-41D9-9DB1-A178C939277F}"/>
                    </c:ext>
                  </c:extLst>
                </c:dPt>
                <c:dPt>
                  <c:idx val="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15-5EDB-4BE8-B6CB-617A718FFB97}"/>
                    </c:ext>
                  </c:extLst>
                </c:dPt>
                <c:dPt>
                  <c:idx val="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C1-1D13-485A-BA6F-2734FB277198}"/>
                    </c:ext>
                  </c:extLst>
                </c:dPt>
                <c:dPt>
                  <c:idx val="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19-5EDB-4BE8-B6CB-617A718FFB97}"/>
                    </c:ext>
                  </c:extLst>
                </c:dPt>
                <c:dPt>
                  <c:idx val="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ED-DAF1-41D9-9DB1-A178C939277F}"/>
                    </c:ext>
                  </c:extLst>
                </c:dPt>
                <c:dPt>
                  <c:idx val="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1D-5EDB-4BE8-B6CB-617A718FFB97}"/>
                    </c:ext>
                  </c:extLst>
                </c:dPt>
                <c:dPt>
                  <c:idx val="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69-04ED-4AA9-BC50-D66038FCB951}"/>
                    </c:ext>
                  </c:extLst>
                </c:dPt>
                <c:dPt>
                  <c:idx val="1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21-5EDB-4BE8-B6CB-617A718FFB97}"/>
                    </c:ext>
                  </c:extLst>
                </c:dPt>
                <c:dPt>
                  <c:idx val="1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F1-DAF1-41D9-9DB1-A178C939277F}"/>
                    </c:ext>
                  </c:extLst>
                </c:dPt>
                <c:dPt>
                  <c:idx val="1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C5-1D13-485A-BA6F-2734FB277198}"/>
                    </c:ext>
                  </c:extLst>
                </c:dPt>
                <c:dPt>
                  <c:idx val="1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F5-DAF1-41D9-9DB1-A178C939277F}"/>
                    </c:ext>
                  </c:extLst>
                </c:dPt>
                <c:dPt>
                  <c:idx val="1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E1-DAB6-45DA-91D4-882BD746BCFB}"/>
                    </c:ext>
                  </c:extLst>
                </c:dPt>
                <c:dPt>
                  <c:idx val="1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F9-DAF1-41D9-9DB1-A178C939277F}"/>
                    </c:ext>
                  </c:extLst>
                </c:dPt>
                <c:dPt>
                  <c:idx val="1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C9-1D13-485A-BA6F-2734FB277198}"/>
                    </c:ext>
                  </c:extLst>
                </c:dPt>
                <c:dPt>
                  <c:idx val="1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6D-04ED-4AA9-BC50-D66038FCB951}"/>
                    </c:ext>
                  </c:extLst>
                </c:dPt>
                <c:dPt>
                  <c:idx val="1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CD-1D13-485A-BA6F-2734FB277198}"/>
                    </c:ext>
                  </c:extLst>
                </c:dPt>
                <c:dPt>
                  <c:idx val="1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9F-60BE-40C2-8D55-6632F2E349D0}"/>
                    </c:ext>
                  </c:extLst>
                </c:dPt>
                <c:dPt>
                  <c:idx val="2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D1-1D13-485A-BA6F-2734FB277198}"/>
                    </c:ext>
                  </c:extLst>
                </c:dPt>
                <c:dPt>
                  <c:idx val="2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8F-5544-4033-80F0-E894437B4A40}"/>
                    </c:ext>
                  </c:extLst>
                </c:dPt>
                <c:dPt>
                  <c:idx val="2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A3-60BE-40C2-8D55-6632F2E349D0}"/>
                    </c:ext>
                  </c:extLst>
                </c:dPt>
                <c:dPt>
                  <c:idx val="2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7F-A86C-40C3-A162-230FDBCEA487}"/>
                    </c:ext>
                  </c:extLst>
                </c:dPt>
                <c:dPt>
                  <c:idx val="2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93-5544-4033-80F0-E894437B4A40}"/>
                    </c:ext>
                  </c:extLst>
                </c:dPt>
                <c:dPt>
                  <c:idx val="2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03-B056-42B7-88DE-80749CFCCB2D}"/>
                    </c:ext>
                  </c:extLst>
                </c:dPt>
                <c:dPt>
                  <c:idx val="2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83-A86C-40C3-A162-230FDBCEA487}"/>
                    </c:ext>
                  </c:extLst>
                </c:dPt>
                <c:dPt>
                  <c:idx val="2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71-04ED-4AA9-BC50-D66038FCB951}"/>
                    </c:ext>
                  </c:extLst>
                </c:dPt>
                <c:dPt>
                  <c:idx val="2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E3-DAB6-45DA-91D4-882BD746BCFB}"/>
                    </c:ext>
                  </c:extLst>
                </c:dPt>
                <c:dPt>
                  <c:idx val="2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75-04ED-4AA9-BC50-D66038FCB951}"/>
                    </c:ext>
                  </c:extLst>
                </c:dPt>
                <c:dPt>
                  <c:idx val="3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47-A820-4364-A7E1-C676310E0661}"/>
                    </c:ext>
                  </c:extLst>
                </c:dPt>
                <c:dPt>
                  <c:idx val="3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79-04ED-4AA9-BC50-D66038FCB951}"/>
                    </c:ext>
                  </c:extLst>
                </c:dPt>
                <c:dPt>
                  <c:idx val="3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37-347F-48E4-BBCB-0EE59E974D1D}"/>
                    </c:ext>
                  </c:extLst>
                </c:dPt>
                <c:dPt>
                  <c:idx val="3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4B-A820-4364-A7E1-C676310E0661}"/>
                    </c:ext>
                  </c:extLst>
                </c:dPt>
                <c:dPt>
                  <c:idx val="3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27-CA5B-4529-960D-90148F46BA02}"/>
                    </c:ext>
                  </c:extLst>
                </c:dPt>
                <c:dPt>
                  <c:idx val="3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3B-347F-48E4-BBCB-0EE59E974D1D}"/>
                    </c:ext>
                  </c:extLst>
                </c:dPt>
                <c:dPt>
                  <c:idx val="3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17-22F6-405D-A58F-94551EB1A83D}"/>
                    </c:ext>
                  </c:extLst>
                </c:dPt>
                <c:dPt>
                  <c:idx val="3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2B-CA5B-4529-960D-90148F46BA02}"/>
                    </c:ext>
                  </c:extLst>
                </c:dPt>
                <c:dPt>
                  <c:idx val="3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07-B056-42B7-88DE-80749CFCCB2D}"/>
                    </c:ext>
                  </c:extLst>
                </c:dPt>
                <c:dPt>
                  <c:idx val="3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1B-22F6-405D-A58F-94551EB1A83D}"/>
                    </c:ext>
                  </c:extLst>
                </c:dPt>
                <c:dPt>
                  <c:idx val="4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E5-DAB6-45DA-91D4-882BD746BCFB}"/>
                    </c:ext>
                  </c:extLst>
                </c:dPt>
                <c:dPt>
                  <c:idx val="4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0B-B056-42B7-88DE-80749CFCCB2D}"/>
                    </c:ext>
                  </c:extLst>
                </c:dPt>
                <c:dPt>
                  <c:idx val="4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E7-DAB6-45DA-91D4-882BD746BCFB}"/>
                    </c:ext>
                  </c:extLst>
                </c:dPt>
                <c:dPt>
                  <c:idx val="4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0F-B056-42B7-88DE-80749CFCCB2D}"/>
                    </c:ext>
                  </c:extLst>
                </c:dPt>
                <c:dPt>
                  <c:idx val="4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C3-596B-4D92-9954-301040E220ED}"/>
                    </c:ext>
                  </c:extLst>
                </c:dPt>
                <c:dPt>
                  <c:idx val="4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CF-68AF-4A70-B683-C4D0C1441A52}"/>
                    </c:ext>
                  </c:extLst>
                </c:dPt>
                <c:dPt>
                  <c:idx val="4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BB-2141-4CAD-8321-B92A7034E6C6}"/>
                    </c:ext>
                  </c:extLst>
                </c:dPt>
                <c:dPt>
                  <c:idx val="4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C7-596B-4D92-9954-301040E220ED}"/>
                    </c:ext>
                  </c:extLst>
                </c:dPt>
                <c:dPt>
                  <c:idx val="4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97-59B7-4954-977F-FA691076C96E}"/>
                    </c:ext>
                  </c:extLst>
                </c:dPt>
                <c:dPt>
                  <c:idx val="4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BF-2141-4CAD-8321-B92A7034E6C6}"/>
                    </c:ext>
                  </c:extLst>
                </c:dPt>
                <c:dPt>
                  <c:idx val="5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AB-6E46-49EC-894E-39393BA39F32}"/>
                    </c:ext>
                  </c:extLst>
                </c:dPt>
                <c:dPt>
                  <c:idx val="5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C3-2141-4CAD-8321-B92A7034E6C6}"/>
                    </c:ext>
                  </c:extLst>
                </c:dPt>
                <c:dPt>
                  <c:idx val="5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87-5597-45E1-A31B-D524361EF8E8}"/>
                    </c:ext>
                  </c:extLst>
                </c:dPt>
                <c:dPt>
                  <c:idx val="5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AF-6E46-49EC-894E-39393BA39F32}"/>
                    </c:ext>
                  </c:extLst>
                </c:dPt>
                <c:dPt>
                  <c:idx val="5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9B-59B7-4954-977F-FA691076C96E}"/>
                    </c:ext>
                  </c:extLst>
                </c:dPt>
                <c:dPt>
                  <c:idx val="5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B3-6E46-49EC-894E-39393BA39F32}"/>
                    </c:ext>
                  </c:extLst>
                </c:dPt>
                <c:dPt>
                  <c:idx val="5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77-CC2F-4B13-B669-E8947D387CAC}"/>
                    </c:ext>
                  </c:extLst>
                </c:dPt>
                <c:dPt>
                  <c:idx val="5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9F-59B7-4954-977F-FA691076C96E}"/>
                    </c:ext>
                  </c:extLst>
                </c:dPt>
                <c:dPt>
                  <c:idx val="5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8B-5597-45E1-A31B-D524361EF8E8}"/>
                    </c:ext>
                  </c:extLst>
                </c:dPt>
                <c:dPt>
                  <c:idx val="5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A3-59B7-4954-977F-FA691076C96E}"/>
                    </c:ext>
                  </c:extLst>
                </c:dPt>
                <c:dPt>
                  <c:idx val="6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67-23E5-487F-B5FC-486D3B6F33AD}"/>
                    </c:ext>
                  </c:extLst>
                </c:dPt>
                <c:dPt>
                  <c:idx val="6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8F-5597-45E1-A31B-D524361EF8E8}"/>
                    </c:ext>
                  </c:extLst>
                </c:dPt>
                <c:dPt>
                  <c:idx val="6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7B-CC2F-4B13-B669-E8947D387CAC}"/>
                    </c:ext>
                  </c:extLst>
                </c:dPt>
                <c:dPt>
                  <c:idx val="6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93-5597-45E1-A31B-D524361EF8E8}"/>
                    </c:ext>
                  </c:extLst>
                </c:dPt>
                <c:dPt>
                  <c:idx val="6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41-C9B8-4D8E-BB56-5E3C88048355}"/>
                    </c:ext>
                  </c:extLst>
                </c:dPt>
                <c:dPt>
                  <c:idx val="6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7F-CC2F-4B13-B669-E8947D387CAC}"/>
                    </c:ext>
                  </c:extLst>
                </c:dPt>
                <c:dPt>
                  <c:idx val="6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6B-23E5-487F-B5FC-486D3B6F33AD}"/>
                    </c:ext>
                  </c:extLst>
                </c:dPt>
                <c:dPt>
                  <c:idx val="6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83-CC2F-4B13-B669-E8947D387CAC}"/>
                    </c:ext>
                  </c:extLst>
                </c:dPt>
                <c:dPt>
                  <c:idx val="6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59-7E19-43B5-AFD0-AA8159069CAE}"/>
                    </c:ext>
                  </c:extLst>
                </c:dPt>
                <c:dPt>
                  <c:idx val="6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6F-23E5-487F-B5FC-486D3B6F33AD}"/>
                    </c:ext>
                  </c:extLst>
                </c:dPt>
                <c:dPt>
                  <c:idx val="7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15-AB76-4C01-B0E9-A19E035A66C4}"/>
                    </c:ext>
                  </c:extLst>
                </c:dPt>
                <c:dPt>
                  <c:idx val="7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73-23E5-487F-B5FC-486D3B6F33AD}"/>
                    </c:ext>
                  </c:extLst>
                </c:dPt>
                <c:dPt>
                  <c:idx val="7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5D-7E19-43B5-AFD0-AA8159069CAE}"/>
                    </c:ext>
                  </c:extLst>
                </c:dPt>
                <c:dPt>
                  <c:idx val="7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45-C9B8-4D8E-BB56-5E3C88048355}"/>
                    </c:ext>
                  </c:extLst>
                </c:dPt>
                <c:dPt>
                  <c:idx val="7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61-7E19-43B5-AFD0-AA8159069CAE}"/>
                    </c:ext>
                  </c:extLst>
                </c:dPt>
                <c:dPt>
                  <c:idx val="7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F9-F87F-4084-9D74-26F54D9DCDC8}"/>
                    </c:ext>
                  </c:extLst>
                </c:dPt>
                <c:dPt>
                  <c:idx val="7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65-7E19-43B5-AFD0-AA8159069CAE}"/>
                    </c:ext>
                  </c:extLst>
                </c:dPt>
                <c:dPt>
                  <c:idx val="7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49-C9B8-4D8E-BB56-5E3C88048355}"/>
                    </c:ext>
                  </c:extLst>
                </c:dPt>
                <c:dPt>
                  <c:idx val="7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19-AB76-4C01-B0E9-A19E035A66C4}"/>
                    </c:ext>
                  </c:extLst>
                </c:dPt>
                <c:dPt>
                  <c:idx val="7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4D-C9B8-4D8E-BB56-5E3C88048355}"/>
                    </c:ext>
                  </c:extLst>
                </c:dPt>
                <c:dPt>
                  <c:idx val="8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33-3B3F-4C0F-9836-96B52C253EE0}"/>
                    </c:ext>
                  </c:extLst>
                </c:dPt>
                <c:dPt>
                  <c:idx val="8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51-C9B8-4D8E-BB56-5E3C88048355}"/>
                    </c:ext>
                  </c:extLst>
                </c:dPt>
                <c:dPt>
                  <c:idx val="8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2B-98AC-40BA-9E50-0D29417390DE}"/>
                    </c:ext>
                  </c:extLst>
                </c:dPt>
                <c:dPt>
                  <c:idx val="8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37-3B3F-4C0F-9836-96B52C253EE0}"/>
                    </c:ext>
                  </c:extLst>
                </c:dPt>
                <c:dPt>
                  <c:idx val="8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23-517B-4D48-8CAD-2056264369A5}"/>
                    </c:ext>
                  </c:extLst>
                </c:dPt>
                <c:dPt>
                  <c:idx val="8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2F-98AC-40BA-9E50-0D29417390DE}"/>
                    </c:ext>
                  </c:extLst>
                </c:dPt>
                <c:dPt>
                  <c:idx val="8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61-E1EB-456A-BEBE-EF697796FB60}"/>
                    </c:ext>
                  </c:extLst>
                </c:dPt>
                <c:dPt>
                  <c:idx val="8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27-517B-4D48-8CAD-2056264369A5}"/>
                    </c:ext>
                  </c:extLst>
                </c:dPt>
                <c:dPt>
                  <c:idx val="8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1D-AB76-4C01-B0E9-A19E035A66C4}"/>
                    </c:ext>
                  </c:extLst>
                </c:dPt>
                <c:dPt>
                  <c:idx val="8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FD-F87F-4084-9D74-26F54D9DCDC8}"/>
                    </c:ext>
                  </c:extLst>
                </c:dPt>
                <c:dPt>
                  <c:idx val="9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21-AB76-4C01-B0E9-A19E035A66C4}"/>
                    </c:ext>
                  </c:extLst>
                </c:dPt>
                <c:dPt>
                  <c:idx val="9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07-A4AA-4F75-BAEF-2070A4AEC42C}"/>
                    </c:ext>
                  </c:extLst>
                </c:dPt>
                <c:dPt>
                  <c:idx val="9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25-AB76-4C01-B0E9-A19E035A66C4}"/>
                    </c:ext>
                  </c:extLst>
                </c:dPt>
                <c:dPt>
                  <c:idx val="9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E7-DBCB-40F3-AAE3-A7FE123E6F99}"/>
                    </c:ext>
                  </c:extLst>
                </c:dPt>
                <c:dPt>
                  <c:idx val="9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0B-A4AA-4F75-BAEF-2070A4AEC42C}"/>
                    </c:ext>
                  </c:extLst>
                </c:dPt>
                <c:dPt>
                  <c:idx val="9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01-F87F-4084-9D74-26F54D9DCDC8}"/>
                    </c:ext>
                  </c:extLst>
                </c:dPt>
                <c:dPt>
                  <c:idx val="9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E9-DBCB-40F3-AAE3-A7FE123E6F99}"/>
                    </c:ext>
                  </c:extLst>
                </c:dPt>
                <c:dPt>
                  <c:idx val="9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05-F87F-4084-9D74-26F54D9DCDC8}"/>
                    </c:ext>
                  </c:extLst>
                </c:dPt>
                <c:dPt>
                  <c:idx val="9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EB-DBCB-40F3-AAE3-A7FE123E6F99}"/>
                    </c:ext>
                  </c:extLst>
                </c:dPt>
                <c:dPt>
                  <c:idx val="9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09-F87F-4084-9D74-26F54D9DCDC8}"/>
                    </c:ext>
                  </c:extLst>
                </c:dPt>
                <c:dPt>
                  <c:idx val="10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E3-13FB-448F-AF5B-C2B348685C35}"/>
                    </c:ext>
                  </c:extLst>
                </c:dPt>
                <c:dPt>
                  <c:idx val="10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EF-DBCB-40F3-AAE3-A7FE123E6F99}"/>
                    </c:ext>
                  </c:extLst>
                </c:dPt>
                <c:dPt>
                  <c:idx val="10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DB-A92A-4A17-B06C-67702BFFE346}"/>
                    </c:ext>
                  </c:extLst>
                </c:dPt>
                <c:dPt>
                  <c:idx val="10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E7-13FB-448F-AF5B-C2B348685C35}"/>
                    </c:ext>
                  </c:extLst>
                </c:dPt>
                <c:dPt>
                  <c:idx val="10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D3-8EF1-442F-839B-C60B34E428DD}"/>
                    </c:ext>
                  </c:extLst>
                </c:dPt>
                <c:dPt>
                  <c:idx val="10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DF-A92A-4A17-B06C-67702BFFE346}"/>
                    </c:ext>
                  </c:extLst>
                </c:dPt>
                <c:dPt>
                  <c:idx val="10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CB-4CA5-42DA-BA81-20CB7E934741}"/>
                    </c:ext>
                  </c:extLst>
                </c:dPt>
                <c:dPt>
                  <c:idx val="10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D7-8EF1-442F-839B-C60B34E428DD}"/>
                    </c:ext>
                  </c:extLst>
                </c:dPt>
                <c:dPt>
                  <c:idx val="10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C3-9CAE-4E2A-A7F6-AF1D53AB3760}"/>
                    </c:ext>
                  </c:extLst>
                </c:dPt>
                <c:dPt>
                  <c:idx val="10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CF-4CA5-42DA-BA81-20CB7E934741}"/>
                    </c:ext>
                  </c:extLst>
                </c:dPt>
                <c:dPt>
                  <c:idx val="11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BB-EB9E-43AE-8257-EBF97BE94AB2}"/>
                    </c:ext>
                  </c:extLst>
                </c:dPt>
                <c:dPt>
                  <c:idx val="11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C7-9CAE-4E2A-A7F6-AF1D53AB3760}"/>
                    </c:ext>
                  </c:extLst>
                </c:dPt>
                <c:dPt>
                  <c:idx val="11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B3-2D1E-4B95-BA8A-55C2EB21D0B5}"/>
                    </c:ext>
                  </c:extLst>
                </c:dPt>
                <c:dPt>
                  <c:idx val="11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BF-EB9E-43AE-8257-EBF97BE94AB2}"/>
                    </c:ext>
                  </c:extLst>
                </c:dPt>
                <c:dPt>
                  <c:idx val="11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AB-437E-4019-BCA3-0E44F50CDF0E}"/>
                    </c:ext>
                  </c:extLst>
                </c:dPt>
                <c:dPt>
                  <c:idx val="11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B7-2D1E-4B95-BA8A-55C2EB21D0B5}"/>
                    </c:ext>
                  </c:extLst>
                </c:dPt>
                <c:dPt>
                  <c:idx val="11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63-E1EB-456A-BEBE-EF697796FB60}"/>
                    </c:ext>
                  </c:extLst>
                </c:dPt>
                <c:dPt>
                  <c:idx val="11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AF-437E-4019-BCA3-0E44F50CDF0E}"/>
                    </c:ext>
                  </c:extLst>
                </c:dPt>
                <c:dPt>
                  <c:idx val="11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9B-59A0-40C0-AD98-10F8257B2D31}"/>
                    </c:ext>
                  </c:extLst>
                </c:dPt>
                <c:dPt>
                  <c:idx val="11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B3-437E-4019-BCA3-0E44F50CDF0E}"/>
                    </c:ext>
                  </c:extLst>
                </c:dPt>
                <c:dPt>
                  <c:idx val="12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89-0974-456E-BCB0-67A94FCED641}"/>
                    </c:ext>
                  </c:extLst>
                </c:dPt>
                <c:dPt>
                  <c:idx val="12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9F-59A0-40C0-AD98-10F8257B2D31}"/>
                    </c:ext>
                  </c:extLst>
                </c:dPt>
                <c:dPt>
                  <c:idx val="12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65-E1EB-456A-BEBE-EF697796FB60}"/>
                    </c:ext>
                  </c:extLst>
                </c:dPt>
                <c:dPt>
                  <c:idx val="12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A3-59A0-40C0-AD98-10F8257B2D31}"/>
                    </c:ext>
                  </c:extLst>
                </c:dPt>
                <c:dPt>
                  <c:idx val="12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8D-0974-456E-BCB0-67A94FCED641}"/>
                    </c:ext>
                  </c:extLst>
                </c:dPt>
                <c:dPt>
                  <c:idx val="12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7F-56D1-4B49-8296-DC493F75A797}"/>
                    </c:ext>
                  </c:extLst>
                </c:dPt>
                <c:dPt>
                  <c:idx val="12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91-0974-456E-BCB0-67A94FCED641}"/>
                    </c:ext>
                  </c:extLst>
                </c:dPt>
                <c:dPt>
                  <c:idx val="12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77-A1EF-4F42-976F-AFFE4AC901E9}"/>
                    </c:ext>
                  </c:extLst>
                </c:dPt>
                <c:dPt>
                  <c:idx val="12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83-56D1-4B49-8296-DC493F75A797}"/>
                    </c:ext>
                  </c:extLst>
                </c:dPt>
                <c:dPt>
                  <c:idx val="12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6F-EFE7-4A98-8625-4B8E9E30DD15}"/>
                    </c:ext>
                  </c:extLst>
                </c:dPt>
                <c:dPt>
                  <c:idx val="13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7B-A1EF-4F42-976F-AFFE4AC901E9}"/>
                    </c:ext>
                  </c:extLst>
                </c:dPt>
                <c:dPt>
                  <c:idx val="13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67-E1EB-456A-BEBE-EF697796FB60}"/>
                    </c:ext>
                  </c:extLst>
                </c:dPt>
                <c:dPt>
                  <c:idx val="13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73-EFE7-4A98-8625-4B8E9E30DD15}"/>
                    </c:ext>
                  </c:extLst>
                </c:dPt>
                <c:dPt>
                  <c:idx val="13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69-E1EB-456A-BEBE-EF697796FB60}"/>
                    </c:ext>
                  </c:extLst>
                </c:dPt>
                <c:dPt>
                  <c:idx val="13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6B-E1EB-456A-BEBE-EF697796FB60}"/>
                    </c:ext>
                  </c:extLst>
                </c:dPt>
                <c:dPt>
                  <c:idx val="13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6D-E1EB-456A-BEBE-EF697796FB60}"/>
                    </c:ext>
                  </c:extLst>
                </c:dPt>
                <c:dPt>
                  <c:idx val="13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6F-E1EB-456A-BEBE-EF697796FB60}"/>
                    </c:ext>
                  </c:extLst>
                </c:dPt>
                <c:dPt>
                  <c:idx val="13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71-E1EB-456A-BEBE-EF697796FB60}"/>
                    </c:ext>
                  </c:extLst>
                </c:dPt>
                <c:dPt>
                  <c:idx val="13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73-E1EB-456A-BEBE-EF697796FB60}"/>
                    </c:ext>
                  </c:extLst>
                </c:dPt>
                <c:dPt>
                  <c:idx val="13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75-E1EB-456A-BEBE-EF697796FB60}"/>
                    </c:ext>
                  </c:extLst>
                </c:dPt>
                <c:dPt>
                  <c:idx val="14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77-E1EB-456A-BEBE-EF697796FB60}"/>
                    </c:ext>
                  </c:extLst>
                </c:dPt>
                <c:dPt>
                  <c:idx val="14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79-E1EB-456A-BEBE-EF697796FB60}"/>
                    </c:ext>
                  </c:extLst>
                </c:dPt>
                <c:dPt>
                  <c:idx val="14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7B-E1EB-456A-BEBE-EF697796FB60}"/>
                    </c:ext>
                  </c:extLst>
                </c:dPt>
                <c:dPt>
                  <c:idx val="14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7D-E1EB-456A-BEBE-EF697796FB60}"/>
                    </c:ext>
                  </c:extLst>
                </c:dPt>
                <c:dPt>
                  <c:idx val="14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7F-E1EB-456A-BEBE-EF697796FB60}"/>
                    </c:ext>
                  </c:extLst>
                </c:dPt>
                <c:dPt>
                  <c:idx val="14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81-E1EB-456A-BEBE-EF697796FB60}"/>
                    </c:ext>
                  </c:extLst>
                </c:dPt>
                <c:dPt>
                  <c:idx val="14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83-E1EB-456A-BEBE-EF697796FB60}"/>
                    </c:ext>
                  </c:extLst>
                </c:dPt>
                <c:dPt>
                  <c:idx val="14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85-E1EB-456A-BEBE-EF697796FB60}"/>
                    </c:ext>
                  </c:extLst>
                </c:dPt>
                <c:dPt>
                  <c:idx val="14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87-E1EB-456A-BEBE-EF697796FB60}"/>
                    </c:ext>
                  </c:extLst>
                </c:dPt>
                <c:dPt>
                  <c:idx val="14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89-E1EB-456A-BEBE-EF697796FB60}"/>
                    </c:ext>
                  </c:extLst>
                </c:dPt>
                <c:dPt>
                  <c:idx val="15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8B-E1EB-456A-BEBE-EF697796FB60}"/>
                    </c:ext>
                  </c:extLst>
                </c:dPt>
                <c:dPt>
                  <c:idx val="15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8D-E1EB-456A-BEBE-EF697796FB60}"/>
                    </c:ext>
                  </c:extLst>
                </c:dPt>
                <c:dPt>
                  <c:idx val="15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8F-E1EB-456A-BEBE-EF697796FB60}"/>
                    </c:ext>
                  </c:extLst>
                </c:dPt>
                <c:dPt>
                  <c:idx val="15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91-E1EB-456A-BEBE-EF697796FB60}"/>
                    </c:ext>
                  </c:extLst>
                </c:dPt>
                <c:dPt>
                  <c:idx val="15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93-E1EB-456A-BEBE-EF697796FB60}"/>
                    </c:ext>
                  </c:extLst>
                </c:dPt>
                <c:dPt>
                  <c:idx val="15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95-E1EB-456A-BEBE-EF697796FB60}"/>
                    </c:ext>
                  </c:extLst>
                </c:dPt>
                <c:dPt>
                  <c:idx val="15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97-E1EB-456A-BEBE-EF697796FB60}"/>
                    </c:ext>
                  </c:extLst>
                </c:dPt>
                <c:dPt>
                  <c:idx val="15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99-E1EB-456A-BEBE-EF697796FB60}"/>
                    </c:ext>
                  </c:extLst>
                </c:dPt>
                <c:dPt>
                  <c:idx val="15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9B-E1EB-456A-BEBE-EF697796FB60}"/>
                    </c:ext>
                  </c:extLst>
                </c:dPt>
                <c:dPt>
                  <c:idx val="15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9D-E1EB-456A-BEBE-EF697796FB60}"/>
                    </c:ext>
                  </c:extLst>
                </c:dPt>
                <c:dPt>
                  <c:idx val="16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9F-E1EB-456A-BEBE-EF697796FB60}"/>
                    </c:ext>
                  </c:extLst>
                </c:dPt>
                <c:dPt>
                  <c:idx val="16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A1-E1EB-456A-BEBE-EF697796FB60}"/>
                    </c:ext>
                  </c:extLst>
                </c:dPt>
                <c:dPt>
                  <c:idx val="16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A3-E1EB-456A-BEBE-EF697796FB60}"/>
                    </c:ext>
                  </c:extLst>
                </c:dPt>
                <c:dPt>
                  <c:idx val="16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A5-E1EB-456A-BEBE-EF697796FB60}"/>
                    </c:ext>
                  </c:extLst>
                </c:dPt>
                <c:dPt>
                  <c:idx val="16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A7-E1EB-456A-BEBE-EF697796FB60}"/>
                    </c:ext>
                  </c:extLst>
                </c:dPt>
                <c:dPt>
                  <c:idx val="16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A9-E1EB-456A-BEBE-EF697796FB60}"/>
                    </c:ext>
                  </c:extLst>
                </c:dPt>
                <c:dPt>
                  <c:idx val="16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AB-E1EB-456A-BEBE-EF697796FB60}"/>
                    </c:ext>
                  </c:extLst>
                </c:dPt>
                <c:dPt>
                  <c:idx val="16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AD-E1EB-456A-BEBE-EF697796FB60}"/>
                    </c:ext>
                  </c:extLst>
                </c:dPt>
                <c:dPt>
                  <c:idx val="16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AF-E1EB-456A-BEBE-EF697796FB60}"/>
                    </c:ext>
                  </c:extLst>
                </c:dPt>
                <c:dPt>
                  <c:idx val="16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B1-E1EB-456A-BEBE-EF697796FB60}"/>
                    </c:ext>
                  </c:extLst>
                </c:dPt>
                <c:dPt>
                  <c:idx val="17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B3-E1EB-456A-BEBE-EF697796FB60}"/>
                    </c:ext>
                  </c:extLst>
                </c:dPt>
                <c:dPt>
                  <c:idx val="17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B5-E1EB-456A-BEBE-EF697796FB60}"/>
                    </c:ext>
                  </c:extLst>
                </c:dPt>
                <c:dPt>
                  <c:idx val="17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B7-E1EB-456A-BEBE-EF697796FB60}"/>
                    </c:ext>
                  </c:extLst>
                </c:dPt>
                <c:dPt>
                  <c:idx val="17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B9-E1EB-456A-BEBE-EF697796FB60}"/>
                    </c:ext>
                  </c:extLst>
                </c:dPt>
                <c:dPt>
                  <c:idx val="17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BB-E1EB-456A-BEBE-EF697796FB60}"/>
                    </c:ext>
                  </c:extLst>
                </c:dPt>
                <c:dPt>
                  <c:idx val="17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BD-E1EB-456A-BEBE-EF697796FB60}"/>
                    </c:ext>
                  </c:extLst>
                </c:dPt>
                <c:dPt>
                  <c:idx val="17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BF-E1EB-456A-BEBE-EF697796FB60}"/>
                    </c:ext>
                  </c:extLst>
                </c:dPt>
                <c:dPt>
                  <c:idx val="17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C1-E1EB-456A-BEBE-EF697796FB60}"/>
                    </c:ext>
                  </c:extLst>
                </c:dPt>
                <c:dPt>
                  <c:idx val="17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C3-E1EB-456A-BEBE-EF697796FB60}"/>
                    </c:ext>
                  </c:extLst>
                </c:dPt>
                <c:dPt>
                  <c:idx val="17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C5-E1EB-456A-BEBE-EF697796FB60}"/>
                    </c:ext>
                  </c:extLst>
                </c:dPt>
                <c:dPt>
                  <c:idx val="18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C7-E1EB-456A-BEBE-EF697796FB60}"/>
                    </c:ext>
                  </c:extLst>
                </c:dPt>
                <c:dPt>
                  <c:idx val="18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C9-E1EB-456A-BEBE-EF697796FB60}"/>
                    </c:ext>
                  </c:extLst>
                </c:dPt>
                <c:dPt>
                  <c:idx val="18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CB-E1EB-456A-BEBE-EF697796FB60}"/>
                    </c:ext>
                  </c:extLst>
                </c:dPt>
                <c:dPt>
                  <c:idx val="18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CD-E1EB-456A-BEBE-EF697796FB60}"/>
                    </c:ext>
                  </c:extLst>
                </c:dPt>
                <c:dPt>
                  <c:idx val="18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CF-E1EB-456A-BEBE-EF697796FB60}"/>
                    </c:ext>
                  </c:extLst>
                </c:dPt>
                <c:dPt>
                  <c:idx val="18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D1-E1EB-456A-BEBE-EF697796FB60}"/>
                    </c:ext>
                  </c:extLst>
                </c:dPt>
                <c:dPt>
                  <c:idx val="18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D3-E1EB-456A-BEBE-EF697796FB60}"/>
                    </c:ext>
                  </c:extLst>
                </c:dPt>
                <c:dPt>
                  <c:idx val="18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D5-E1EB-456A-BEBE-EF697796FB60}"/>
                    </c:ext>
                  </c:extLst>
                </c:dPt>
                <c:dPt>
                  <c:idx val="18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D7-E1EB-456A-BEBE-EF697796FB60}"/>
                    </c:ext>
                  </c:extLst>
                </c:dPt>
                <c:dPt>
                  <c:idx val="18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D9-E1EB-456A-BEBE-EF697796FB60}"/>
                    </c:ext>
                  </c:extLst>
                </c:dPt>
                <c:dPt>
                  <c:idx val="19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DB-E1EB-456A-BEBE-EF697796FB60}"/>
                    </c:ext>
                  </c:extLst>
                </c:dPt>
                <c:dPt>
                  <c:idx val="19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DD-E1EB-456A-BEBE-EF697796FB60}"/>
                    </c:ext>
                  </c:extLst>
                </c:dPt>
                <c:dPt>
                  <c:idx val="19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DF-E1EB-456A-BEBE-EF697796FB60}"/>
                    </c:ext>
                  </c:extLst>
                </c:dPt>
                <c:dPt>
                  <c:idx val="19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E1-E1EB-456A-BEBE-EF697796FB60}"/>
                    </c:ext>
                  </c:extLst>
                </c:dPt>
                <c:dPt>
                  <c:idx val="19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E3-E1EB-456A-BEBE-EF697796FB60}"/>
                    </c:ext>
                  </c:extLst>
                </c:dPt>
                <c:dPt>
                  <c:idx val="19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E5-E1EB-456A-BEBE-EF697796FB60}"/>
                    </c:ext>
                  </c:extLst>
                </c:dPt>
                <c:dPt>
                  <c:idx val="19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E7-E1EB-456A-BEBE-EF697796FB60}"/>
                    </c:ext>
                  </c:extLst>
                </c:dPt>
                <c:dPt>
                  <c:idx val="19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E9-E1EB-456A-BEBE-EF697796FB60}"/>
                    </c:ext>
                  </c:extLst>
                </c:dPt>
                <c:dPt>
                  <c:idx val="19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EB-E1EB-456A-BEBE-EF697796FB60}"/>
                    </c:ext>
                  </c:extLst>
                </c:dPt>
                <c:dPt>
                  <c:idx val="19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ED-E1EB-456A-BEBE-EF697796FB60}"/>
                    </c:ext>
                  </c:extLst>
                </c:dPt>
                <c:dPt>
                  <c:idx val="20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EF-E1EB-456A-BEBE-EF697796FB60}"/>
                    </c:ext>
                  </c:extLst>
                </c:dPt>
                <c:dPt>
                  <c:idx val="20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F1-E1EB-456A-BEBE-EF697796FB60}"/>
                    </c:ext>
                  </c:extLst>
                </c:dPt>
                <c:dPt>
                  <c:idx val="20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F3-E1EB-456A-BEBE-EF697796FB60}"/>
                    </c:ext>
                  </c:extLst>
                </c:dPt>
                <c:dPt>
                  <c:idx val="20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F5-E1EB-456A-BEBE-EF697796FB60}"/>
                    </c:ext>
                  </c:extLst>
                </c:dPt>
                <c:dPt>
                  <c:idx val="20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F7-E1EB-456A-BEBE-EF697796FB60}"/>
                    </c:ext>
                  </c:extLst>
                </c:dPt>
                <c:dPt>
                  <c:idx val="20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F9-E1EB-456A-BEBE-EF697796FB60}"/>
                    </c:ext>
                  </c:extLst>
                </c:dPt>
                <c:dPt>
                  <c:idx val="20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FB-E1EB-456A-BEBE-EF697796FB60}"/>
                    </c:ext>
                  </c:extLst>
                </c:dPt>
                <c:dPt>
                  <c:idx val="20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FD-E1EB-456A-BEBE-EF697796FB60}"/>
                    </c:ext>
                  </c:extLst>
                </c:dPt>
                <c:dPt>
                  <c:idx val="20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FF-E1EB-456A-BEBE-EF697796FB60}"/>
                    </c:ext>
                  </c:extLst>
                </c:dPt>
                <c:dPt>
                  <c:idx val="20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01-E1EB-456A-BEBE-EF697796FB60}"/>
                    </c:ext>
                  </c:extLst>
                </c:dPt>
                <c:dPt>
                  <c:idx val="21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03-E1EB-456A-BEBE-EF697796FB60}"/>
                    </c:ext>
                  </c:extLst>
                </c:dPt>
                <c:dPt>
                  <c:idx val="21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05-E1EB-456A-BEBE-EF697796FB60}"/>
                    </c:ext>
                  </c:extLst>
                </c:dPt>
                <c:dPt>
                  <c:idx val="21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07-E1EB-456A-BEBE-EF697796FB60}"/>
                    </c:ext>
                  </c:extLst>
                </c:dPt>
                <c:dPt>
                  <c:idx val="21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09-E1EB-456A-BEBE-EF697796FB60}"/>
                    </c:ext>
                  </c:extLst>
                </c:dPt>
                <c:dPt>
                  <c:idx val="21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0B-E1EB-456A-BEBE-EF697796FB60}"/>
                    </c:ext>
                  </c:extLst>
                </c:dPt>
                <c:dPt>
                  <c:idx val="21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0D-E1EB-456A-BEBE-EF697796FB60}"/>
                    </c:ext>
                  </c:extLst>
                </c:dPt>
                <c:dPt>
                  <c:idx val="21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0F-E1EB-456A-BEBE-EF697796FB60}"/>
                    </c:ext>
                  </c:extLst>
                </c:dPt>
                <c:dPt>
                  <c:idx val="21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11-E1EB-456A-BEBE-EF697796FB60}"/>
                    </c:ext>
                  </c:extLst>
                </c:dPt>
                <c:dPt>
                  <c:idx val="21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13-E1EB-456A-BEBE-EF697796FB60}"/>
                    </c:ext>
                  </c:extLst>
                </c:dPt>
                <c:dPt>
                  <c:idx val="21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15-E1EB-456A-BEBE-EF697796FB60}"/>
                    </c:ext>
                  </c:extLst>
                </c:dPt>
                <c:dPt>
                  <c:idx val="22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17-E1EB-456A-BEBE-EF697796FB60}"/>
                    </c:ext>
                  </c:extLst>
                </c:dPt>
                <c:dPt>
                  <c:idx val="22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19-E1EB-456A-BEBE-EF697796FB60}"/>
                    </c:ext>
                  </c:extLst>
                </c:dPt>
                <c:dPt>
                  <c:idx val="22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1B-E1EB-456A-BEBE-EF697796FB60}"/>
                    </c:ext>
                  </c:extLst>
                </c:dPt>
                <c:dPt>
                  <c:idx val="22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1D-E1EB-456A-BEBE-EF697796FB60}"/>
                    </c:ext>
                  </c:extLst>
                </c:dPt>
                <c:dPt>
                  <c:idx val="22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1F-E1EB-456A-BEBE-EF697796FB60}"/>
                    </c:ext>
                  </c:extLst>
                </c:dPt>
                <c:dPt>
                  <c:idx val="22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21-E1EB-456A-BEBE-EF697796FB60}"/>
                    </c:ext>
                  </c:extLst>
                </c:dPt>
                <c:dPt>
                  <c:idx val="22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23-E1EB-456A-BEBE-EF697796FB60}"/>
                    </c:ext>
                  </c:extLst>
                </c:dPt>
                <c:dPt>
                  <c:idx val="22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25-E1EB-456A-BEBE-EF697796FB60}"/>
                    </c:ext>
                  </c:extLst>
                </c:dPt>
                <c:dPt>
                  <c:idx val="22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27-E1EB-456A-BEBE-EF697796FB60}"/>
                    </c:ext>
                  </c:extLst>
                </c:dPt>
                <c:dPt>
                  <c:idx val="22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29-E1EB-456A-BEBE-EF697796FB60}"/>
                    </c:ext>
                  </c:extLst>
                </c:dPt>
                <c:dPt>
                  <c:idx val="23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2B-E1EB-456A-BEBE-EF697796FB60}"/>
                    </c:ext>
                  </c:extLst>
                </c:dPt>
                <c:dPt>
                  <c:idx val="23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2D-E1EB-456A-BEBE-EF697796FB60}"/>
                    </c:ext>
                  </c:extLst>
                </c:dPt>
                <c:dPt>
                  <c:idx val="23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2F-E1EB-456A-BEBE-EF697796FB60}"/>
                    </c:ext>
                  </c:extLst>
                </c:dPt>
                <c:dPt>
                  <c:idx val="23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31-E1EB-456A-BEBE-EF697796FB60}"/>
                    </c:ext>
                  </c:extLst>
                </c:dPt>
                <c:dPt>
                  <c:idx val="23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33-E1EB-456A-BEBE-EF697796FB60}"/>
                    </c:ext>
                  </c:extLst>
                </c:dPt>
                <c:dPt>
                  <c:idx val="23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35-E1EB-456A-BEBE-EF697796FB60}"/>
                    </c:ext>
                  </c:extLst>
                </c:dPt>
                <c:dPt>
                  <c:idx val="23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37-E1EB-456A-BEBE-EF697796FB60}"/>
                    </c:ext>
                  </c:extLst>
                </c:dPt>
                <c:dPt>
                  <c:idx val="23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39-E1EB-456A-BEBE-EF697796FB60}"/>
                    </c:ext>
                  </c:extLst>
                </c:dPt>
                <c:dPt>
                  <c:idx val="23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3B-E1EB-456A-BEBE-EF697796FB60}"/>
                    </c:ext>
                  </c:extLst>
                </c:dPt>
                <c:dPt>
                  <c:idx val="23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3D-E1EB-456A-BEBE-EF697796FB60}"/>
                    </c:ext>
                  </c:extLst>
                </c:dPt>
                <c:dPt>
                  <c:idx val="24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3F-E1EB-456A-BEBE-EF697796FB60}"/>
                    </c:ext>
                  </c:extLst>
                </c:dPt>
                <c:dPt>
                  <c:idx val="24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41-E1EB-456A-BEBE-EF697796FB60}"/>
                    </c:ext>
                  </c:extLst>
                </c:dPt>
                <c:dPt>
                  <c:idx val="24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43-E1EB-456A-BEBE-EF697796FB60}"/>
                    </c:ext>
                  </c:extLst>
                </c:dPt>
                <c:dPt>
                  <c:idx val="24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45-E1EB-456A-BEBE-EF697796FB60}"/>
                    </c:ext>
                  </c:extLst>
                </c:dPt>
                <c:dPt>
                  <c:idx val="24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47-E1EB-456A-BEBE-EF697796FB60}"/>
                    </c:ext>
                  </c:extLst>
                </c:dPt>
                <c:dPt>
                  <c:idx val="24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49-E1EB-456A-BEBE-EF697796FB60}"/>
                    </c:ext>
                  </c:extLst>
                </c:dPt>
                <c:dPt>
                  <c:idx val="24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4B-E1EB-456A-BEBE-EF697796FB60}"/>
                    </c:ext>
                  </c:extLst>
                </c:dPt>
                <c:dPt>
                  <c:idx val="24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4D-E1EB-456A-BEBE-EF697796FB60}"/>
                    </c:ext>
                  </c:extLst>
                </c:dPt>
                <c:dPt>
                  <c:idx val="24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4F-E1EB-456A-BEBE-EF697796FB60}"/>
                    </c:ext>
                  </c:extLst>
                </c:dPt>
                <c:dPt>
                  <c:idx val="24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51-E1EB-456A-BEBE-EF697796FB60}"/>
                    </c:ext>
                  </c:extLst>
                </c:dPt>
                <c:dPt>
                  <c:idx val="25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53-E1EB-456A-BEBE-EF697796FB60}"/>
                    </c:ext>
                  </c:extLst>
                </c:dPt>
                <c:dPt>
                  <c:idx val="25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55-E1EB-456A-BEBE-EF697796FB60}"/>
                    </c:ext>
                  </c:extLst>
                </c:dPt>
                <c:dPt>
                  <c:idx val="25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57-E1EB-456A-BEBE-EF697796FB60}"/>
                    </c:ext>
                  </c:extLst>
                </c:dPt>
                <c:dPt>
                  <c:idx val="25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59-E1EB-456A-BEBE-EF697796FB60}"/>
                    </c:ext>
                  </c:extLst>
                </c:dPt>
                <c:dPt>
                  <c:idx val="25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5B-E1EB-456A-BEBE-EF697796FB60}"/>
                    </c:ext>
                  </c:extLst>
                </c:dPt>
                <c:dPt>
                  <c:idx val="25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5D-E1EB-456A-BEBE-EF697796FB60}"/>
                    </c:ext>
                  </c:extLst>
                </c:dPt>
                <c:dPt>
                  <c:idx val="25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5F-E1EB-456A-BEBE-EF697796FB60}"/>
                    </c:ext>
                  </c:extLst>
                </c:dPt>
                <c:dPt>
                  <c:idx val="25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61-E1EB-456A-BEBE-EF697796FB60}"/>
                    </c:ext>
                  </c:extLst>
                </c:dPt>
                <c:dPt>
                  <c:idx val="25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63-E1EB-456A-BEBE-EF697796FB60}"/>
                    </c:ext>
                  </c:extLst>
                </c:dPt>
                <c:dPt>
                  <c:idx val="25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65-E1EB-456A-BEBE-EF697796FB60}"/>
                    </c:ext>
                  </c:extLst>
                </c:dPt>
                <c:dPt>
                  <c:idx val="26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67-E1EB-456A-BEBE-EF697796FB60}"/>
                    </c:ext>
                  </c:extLst>
                </c:dPt>
                <c:dPt>
                  <c:idx val="26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69-E1EB-456A-BEBE-EF697796FB60}"/>
                    </c:ext>
                  </c:extLst>
                </c:dPt>
                <c:dPt>
                  <c:idx val="26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6B-E1EB-456A-BEBE-EF697796FB60}"/>
                    </c:ext>
                  </c:extLst>
                </c:dPt>
                <c:dPt>
                  <c:idx val="26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6D-E1EB-456A-BEBE-EF697796FB60}"/>
                    </c:ext>
                  </c:extLst>
                </c:dPt>
                <c:dPt>
                  <c:idx val="26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6F-E1EB-456A-BEBE-EF697796FB60}"/>
                    </c:ext>
                  </c:extLst>
                </c:dPt>
                <c:dPt>
                  <c:idx val="26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71-E1EB-456A-BEBE-EF697796FB60}"/>
                    </c:ext>
                  </c:extLst>
                </c:dPt>
                <c:dPt>
                  <c:idx val="26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73-E1EB-456A-BEBE-EF697796FB60}"/>
                    </c:ext>
                  </c:extLst>
                </c:dPt>
                <c:dPt>
                  <c:idx val="26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75-E1EB-456A-BEBE-EF697796FB60}"/>
                    </c:ext>
                  </c:extLst>
                </c:dPt>
                <c:dPt>
                  <c:idx val="26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77-E1EB-456A-BEBE-EF697796FB60}"/>
                    </c:ext>
                  </c:extLst>
                </c:dPt>
                <c:dPt>
                  <c:idx val="26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79-E1EB-456A-BEBE-EF697796FB60}"/>
                    </c:ext>
                  </c:extLst>
                </c:dPt>
                <c:dPt>
                  <c:idx val="27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7B-E1EB-456A-BEBE-EF697796FB60}"/>
                    </c:ext>
                  </c:extLst>
                </c:dPt>
                <c:dPt>
                  <c:idx val="27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7D-E1EB-456A-BEBE-EF697796FB60}"/>
                    </c:ext>
                  </c:extLst>
                </c:dPt>
                <c:dPt>
                  <c:idx val="27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7F-E1EB-456A-BEBE-EF697796FB60}"/>
                    </c:ext>
                  </c:extLst>
                </c:dPt>
                <c:dPt>
                  <c:idx val="27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81-E1EB-456A-BEBE-EF697796FB60}"/>
                    </c:ext>
                  </c:extLst>
                </c:dPt>
                <c:dPt>
                  <c:idx val="27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83-E1EB-456A-BEBE-EF697796FB60}"/>
                    </c:ext>
                  </c:extLst>
                </c:dPt>
                <c:dPt>
                  <c:idx val="27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85-E1EB-456A-BEBE-EF697796FB60}"/>
                    </c:ext>
                  </c:extLst>
                </c:dPt>
                <c:dPt>
                  <c:idx val="27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87-E1EB-456A-BEBE-EF697796FB60}"/>
                    </c:ext>
                  </c:extLst>
                </c:dPt>
                <c:dPt>
                  <c:idx val="27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89-E1EB-456A-BEBE-EF697796FB60}"/>
                    </c:ext>
                  </c:extLst>
                </c:dPt>
                <c:dPt>
                  <c:idx val="27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8B-E1EB-456A-BEBE-EF697796FB60}"/>
                    </c:ext>
                  </c:extLst>
                </c:dPt>
                <c:dPt>
                  <c:idx val="27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8D-E1EB-456A-BEBE-EF697796FB60}"/>
                    </c:ext>
                  </c:extLst>
                </c:dPt>
                <c:dPt>
                  <c:idx val="28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8F-E1EB-456A-BEBE-EF697796FB60}"/>
                    </c:ext>
                  </c:extLst>
                </c:dPt>
                <c:dPt>
                  <c:idx val="28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91-E1EB-456A-BEBE-EF697796FB60}"/>
                    </c:ext>
                  </c:extLst>
                </c:dPt>
                <c:dPt>
                  <c:idx val="28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93-E1EB-456A-BEBE-EF697796FB60}"/>
                    </c:ext>
                  </c:extLst>
                </c:dPt>
                <c:dPt>
                  <c:idx val="28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95-E1EB-456A-BEBE-EF697796FB60}"/>
                    </c:ext>
                  </c:extLst>
                </c:dPt>
                <c:dPt>
                  <c:idx val="28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97-E1EB-456A-BEBE-EF697796FB60}"/>
                    </c:ext>
                  </c:extLst>
                </c:dPt>
                <c:dPt>
                  <c:idx val="28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99-E1EB-456A-BEBE-EF697796FB60}"/>
                    </c:ext>
                  </c:extLst>
                </c:dPt>
                <c:dPt>
                  <c:idx val="28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9B-E1EB-456A-BEBE-EF697796FB60}"/>
                    </c:ext>
                  </c:extLst>
                </c:dPt>
                <c:dPt>
                  <c:idx val="28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9D-E1EB-456A-BEBE-EF697796FB60}"/>
                    </c:ext>
                  </c:extLst>
                </c:dPt>
                <c:dPt>
                  <c:idx val="28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9F-E1EB-456A-BEBE-EF697796FB60}"/>
                    </c:ext>
                  </c:extLst>
                </c:dPt>
                <c:dPt>
                  <c:idx val="28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A1-E1EB-456A-BEBE-EF697796FB60}"/>
                    </c:ext>
                  </c:extLst>
                </c:dPt>
                <c:dPt>
                  <c:idx val="29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A3-E1EB-456A-BEBE-EF697796FB60}"/>
                    </c:ext>
                  </c:extLst>
                </c:dPt>
                <c:dPt>
                  <c:idx val="29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A5-E1EB-456A-BEBE-EF697796FB60}"/>
                    </c:ext>
                  </c:extLst>
                </c:dPt>
                <c:dPt>
                  <c:idx val="29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A7-E1EB-456A-BEBE-EF697796FB60}"/>
                    </c:ext>
                  </c:extLst>
                </c:dPt>
                <c:dPt>
                  <c:idx val="29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A9-E1EB-456A-BEBE-EF697796FB60}"/>
                    </c:ext>
                  </c:extLst>
                </c:dPt>
                <c:dPt>
                  <c:idx val="29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AB-E1EB-456A-BEBE-EF697796FB60}"/>
                    </c:ext>
                  </c:extLst>
                </c:dPt>
                <c:dPt>
                  <c:idx val="29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AD-E1EB-456A-BEBE-EF697796FB60}"/>
                    </c:ext>
                  </c:extLst>
                </c:dPt>
                <c:dPt>
                  <c:idx val="29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AF-E1EB-456A-BEBE-EF697796FB60}"/>
                    </c:ext>
                  </c:extLst>
                </c:dPt>
                <c:dPt>
                  <c:idx val="29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B1-E1EB-456A-BEBE-EF697796FB60}"/>
                    </c:ext>
                  </c:extLst>
                </c:dPt>
                <c:dPt>
                  <c:idx val="29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B3-E1EB-456A-BEBE-EF697796FB60}"/>
                    </c:ext>
                  </c:extLst>
                </c:dPt>
                <c:dPt>
                  <c:idx val="29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B5-E1EB-456A-BEBE-EF697796FB60}"/>
                    </c:ext>
                  </c:extLst>
                </c:dPt>
                <c:dPt>
                  <c:idx val="30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B7-E1EB-456A-BEBE-EF697796FB60}"/>
                    </c:ext>
                  </c:extLst>
                </c:dPt>
                <c:dPt>
                  <c:idx val="30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B9-E1EB-456A-BEBE-EF697796FB60}"/>
                    </c:ext>
                  </c:extLst>
                </c:dPt>
                <c:dPt>
                  <c:idx val="30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BB-E1EB-456A-BEBE-EF697796FB60}"/>
                    </c:ext>
                  </c:extLst>
                </c:dPt>
                <c:dPt>
                  <c:idx val="30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BD-E1EB-456A-BEBE-EF697796FB60}"/>
                    </c:ext>
                  </c:extLst>
                </c:dPt>
                <c:dPt>
                  <c:idx val="30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BF-E1EB-456A-BEBE-EF697796FB60}"/>
                    </c:ext>
                  </c:extLst>
                </c:dPt>
                <c:dPt>
                  <c:idx val="30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C1-E1EB-456A-BEBE-EF697796FB60}"/>
                    </c:ext>
                  </c:extLst>
                </c:dPt>
                <c:dPt>
                  <c:idx val="30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C3-E1EB-456A-BEBE-EF697796FB60}"/>
                    </c:ext>
                  </c:extLst>
                </c:dPt>
                <c:dPt>
                  <c:idx val="30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C5-E1EB-456A-BEBE-EF697796FB60}"/>
                    </c:ext>
                  </c:extLst>
                </c:dPt>
                <c:dPt>
                  <c:idx val="30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C7-E1EB-456A-BEBE-EF697796FB60}"/>
                    </c:ext>
                  </c:extLst>
                </c:dPt>
                <c:dPt>
                  <c:idx val="30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C9-E1EB-456A-BEBE-EF697796FB60}"/>
                    </c:ext>
                  </c:extLst>
                </c:dPt>
                <c:dPt>
                  <c:idx val="31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CB-E1EB-456A-BEBE-EF697796FB60}"/>
                    </c:ext>
                  </c:extLst>
                </c:dPt>
                <c:dPt>
                  <c:idx val="31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CD-E1EB-456A-BEBE-EF697796FB60}"/>
                    </c:ext>
                  </c:extLst>
                </c:dPt>
                <c:dPt>
                  <c:idx val="31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CF-E1EB-456A-BEBE-EF697796FB60}"/>
                    </c:ext>
                  </c:extLst>
                </c:dPt>
                <c:dPt>
                  <c:idx val="31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D1-E1EB-456A-BEBE-EF697796FB60}"/>
                    </c:ext>
                  </c:extLst>
                </c:dPt>
                <c:dPt>
                  <c:idx val="31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D3-E1EB-456A-BEBE-EF697796FB60}"/>
                    </c:ext>
                  </c:extLst>
                </c:dPt>
                <c:dPt>
                  <c:idx val="31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D5-E1EB-456A-BEBE-EF697796FB60}"/>
                    </c:ext>
                  </c:extLst>
                </c:dPt>
                <c:dPt>
                  <c:idx val="31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D7-E1EB-456A-BEBE-EF697796FB60}"/>
                    </c:ext>
                  </c:extLst>
                </c:dPt>
                <c:dPt>
                  <c:idx val="31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D9-E1EB-456A-BEBE-EF697796FB60}"/>
                    </c:ext>
                  </c:extLst>
                </c:dPt>
                <c:dPt>
                  <c:idx val="31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DB-E1EB-456A-BEBE-EF697796FB60}"/>
                    </c:ext>
                  </c:extLst>
                </c:dPt>
                <c:dPt>
                  <c:idx val="31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DD-E1EB-456A-BEBE-EF697796FB60}"/>
                    </c:ext>
                  </c:extLst>
                </c:dPt>
                <c:dPt>
                  <c:idx val="32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DF-E1EB-456A-BEBE-EF697796FB60}"/>
                    </c:ext>
                  </c:extLst>
                </c:dPt>
                <c:dPt>
                  <c:idx val="32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E1-E1EB-456A-BEBE-EF697796FB60}"/>
                    </c:ext>
                  </c:extLst>
                </c:dPt>
                <c:dPt>
                  <c:idx val="32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E3-E1EB-456A-BEBE-EF697796FB60}"/>
                    </c:ext>
                  </c:extLst>
                </c:dPt>
                <c:dPt>
                  <c:idx val="32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E5-E1EB-456A-BEBE-EF697796FB60}"/>
                    </c:ext>
                  </c:extLst>
                </c:dPt>
                <c:dPt>
                  <c:idx val="32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E7-E1EB-456A-BEBE-EF697796FB60}"/>
                    </c:ext>
                  </c:extLst>
                </c:dPt>
                <c:dPt>
                  <c:idx val="32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E9-E1EB-456A-BEBE-EF697796FB60}"/>
                    </c:ext>
                  </c:extLst>
                </c:dPt>
                <c:dPt>
                  <c:idx val="32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EB-E1EB-456A-BEBE-EF697796FB60}"/>
                    </c:ext>
                  </c:extLst>
                </c:dPt>
                <c:dPt>
                  <c:idx val="32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ED-E1EB-456A-BEBE-EF697796FB60}"/>
                    </c:ext>
                  </c:extLst>
                </c:dPt>
                <c:dPt>
                  <c:idx val="32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EF-E1EB-456A-BEBE-EF697796FB60}"/>
                    </c:ext>
                  </c:extLst>
                </c:dPt>
                <c:dPt>
                  <c:idx val="32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F1-E1EB-456A-BEBE-EF697796FB60}"/>
                    </c:ext>
                  </c:extLst>
                </c:dPt>
                <c:dPt>
                  <c:idx val="33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F3-E1EB-456A-BEBE-EF697796FB60}"/>
                    </c:ext>
                  </c:extLst>
                </c:dPt>
                <c:dPt>
                  <c:idx val="33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F5-E1EB-456A-BEBE-EF697796FB60}"/>
                    </c:ext>
                  </c:extLst>
                </c:dPt>
                <c:dPt>
                  <c:idx val="33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F7-E1EB-456A-BEBE-EF697796FB60}"/>
                    </c:ext>
                  </c:extLst>
                </c:dPt>
                <c:dPt>
                  <c:idx val="33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F9-E1EB-456A-BEBE-EF697796FB60}"/>
                    </c:ext>
                  </c:extLst>
                </c:dPt>
                <c:dPt>
                  <c:idx val="33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FB-E1EB-456A-BEBE-EF697796FB60}"/>
                    </c:ext>
                  </c:extLst>
                </c:dPt>
                <c:dPt>
                  <c:idx val="33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FD-E1EB-456A-BEBE-EF697796FB60}"/>
                    </c:ext>
                  </c:extLst>
                </c:dPt>
                <c:dPt>
                  <c:idx val="33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FF-E1EB-456A-BEBE-EF697796FB60}"/>
                    </c:ext>
                  </c:extLst>
                </c:dPt>
                <c:dPt>
                  <c:idx val="33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01-E1EB-456A-BEBE-EF697796FB60}"/>
                    </c:ext>
                  </c:extLst>
                </c:dPt>
                <c:dPt>
                  <c:idx val="33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03-E1EB-456A-BEBE-EF697796FB60}"/>
                    </c:ext>
                  </c:extLst>
                </c:dPt>
                <c:dPt>
                  <c:idx val="33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05-E1EB-456A-BEBE-EF697796FB60}"/>
                    </c:ext>
                  </c:extLst>
                </c:dPt>
                <c:dPt>
                  <c:idx val="34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07-E1EB-456A-BEBE-EF697796FB60}"/>
                    </c:ext>
                  </c:extLst>
                </c:dPt>
                <c:dPt>
                  <c:idx val="34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09-E1EB-456A-BEBE-EF697796FB60}"/>
                    </c:ext>
                  </c:extLst>
                </c:dPt>
                <c:dPt>
                  <c:idx val="34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0B-E1EB-456A-BEBE-EF697796FB60}"/>
                    </c:ext>
                  </c:extLst>
                </c:dPt>
                <c:dPt>
                  <c:idx val="34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0D-E1EB-456A-BEBE-EF697796FB60}"/>
                    </c:ext>
                  </c:extLst>
                </c:dPt>
                <c:dPt>
                  <c:idx val="34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0F-E1EB-456A-BEBE-EF697796FB60}"/>
                    </c:ext>
                  </c:extLst>
                </c:dPt>
                <c:dPt>
                  <c:idx val="34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11-E1EB-456A-BEBE-EF697796FB60}"/>
                    </c:ext>
                  </c:extLst>
                </c:dPt>
                <c:dPt>
                  <c:idx val="34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13-E1EB-456A-BEBE-EF697796FB60}"/>
                    </c:ext>
                  </c:extLst>
                </c:dPt>
                <c:dPt>
                  <c:idx val="34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15-E1EB-456A-BEBE-EF697796FB60}"/>
                    </c:ext>
                  </c:extLst>
                </c:dPt>
                <c:dPt>
                  <c:idx val="34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17-E1EB-456A-BEBE-EF697796FB60}"/>
                    </c:ext>
                  </c:extLst>
                </c:dPt>
                <c:dPt>
                  <c:idx val="34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19-E1EB-456A-BEBE-EF697796FB60}"/>
                    </c:ext>
                  </c:extLst>
                </c:dPt>
                <c:dPt>
                  <c:idx val="35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1B-E1EB-456A-BEBE-EF697796FB60}"/>
                    </c:ext>
                  </c:extLst>
                </c:dPt>
                <c:dPt>
                  <c:idx val="35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1D-E1EB-456A-BEBE-EF697796FB60}"/>
                    </c:ext>
                  </c:extLst>
                </c:dPt>
                <c:dPt>
                  <c:idx val="35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1F-E1EB-456A-BEBE-EF697796FB60}"/>
                    </c:ext>
                  </c:extLst>
                </c:dPt>
                <c:dPt>
                  <c:idx val="35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21-E1EB-456A-BEBE-EF697796FB60}"/>
                    </c:ext>
                  </c:extLst>
                </c:dPt>
                <c:dPt>
                  <c:idx val="35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23-E1EB-456A-BEBE-EF697796FB60}"/>
                    </c:ext>
                  </c:extLst>
                </c:dPt>
                <c:dPt>
                  <c:idx val="35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25-E1EB-456A-BEBE-EF697796FB60}"/>
                    </c:ext>
                  </c:extLst>
                </c:dPt>
                <c:dPt>
                  <c:idx val="35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27-E1EB-456A-BEBE-EF697796FB60}"/>
                    </c:ext>
                  </c:extLst>
                </c:dPt>
                <c:dPt>
                  <c:idx val="35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29-E1EB-456A-BEBE-EF697796FB60}"/>
                    </c:ext>
                  </c:extLst>
                </c:dPt>
                <c:dPt>
                  <c:idx val="35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2B-E1EB-456A-BEBE-EF697796FB60}"/>
                    </c:ext>
                  </c:extLst>
                </c:dPt>
                <c:dPt>
                  <c:idx val="35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2D-E1EB-456A-BEBE-EF697796FB60}"/>
                    </c:ext>
                  </c:extLst>
                </c:dPt>
                <c:dPt>
                  <c:idx val="36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2F-E1EB-456A-BEBE-EF697796FB60}"/>
                    </c:ext>
                  </c:extLst>
                </c:dPt>
                <c:dPt>
                  <c:idx val="36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31-E1EB-456A-BEBE-EF697796FB60}"/>
                    </c:ext>
                  </c:extLst>
                </c:dPt>
                <c:dPt>
                  <c:idx val="36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33-E1EB-456A-BEBE-EF697796FB60}"/>
                    </c:ext>
                  </c:extLst>
                </c:dPt>
                <c:dPt>
                  <c:idx val="36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35-E1EB-456A-BEBE-EF697796FB60}"/>
                    </c:ext>
                  </c:extLst>
                </c:dPt>
                <c:dPt>
                  <c:idx val="36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37-E1EB-456A-BEBE-EF697796FB60}"/>
                    </c:ext>
                  </c:extLst>
                </c:dPt>
                <c:dPt>
                  <c:idx val="36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39-E1EB-456A-BEBE-EF697796FB60}"/>
                    </c:ext>
                  </c:extLst>
                </c:dPt>
                <c:dPt>
                  <c:idx val="36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3B-E1EB-456A-BEBE-EF697796FB60}"/>
                    </c:ext>
                  </c:extLst>
                </c:dPt>
                <c:dPt>
                  <c:idx val="36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3D-E1EB-456A-BEBE-EF697796FB60}"/>
                    </c:ext>
                  </c:extLst>
                </c:dPt>
                <c:dPt>
                  <c:idx val="36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3F-E1EB-456A-BEBE-EF697796FB60}"/>
                    </c:ext>
                  </c:extLst>
                </c:dPt>
                <c:dPt>
                  <c:idx val="36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41-E1EB-456A-BEBE-EF697796FB60}"/>
                    </c:ext>
                  </c:extLst>
                </c:dPt>
                <c:dPt>
                  <c:idx val="37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43-E1EB-456A-BEBE-EF697796FB60}"/>
                    </c:ext>
                  </c:extLst>
                </c:dPt>
                <c:dPt>
                  <c:idx val="37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45-E1EB-456A-BEBE-EF697796FB60}"/>
                    </c:ext>
                  </c:extLst>
                </c:dPt>
                <c:dPt>
                  <c:idx val="37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47-E1EB-456A-BEBE-EF697796FB60}"/>
                    </c:ext>
                  </c:extLst>
                </c:dPt>
                <c:dPt>
                  <c:idx val="37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49-E1EB-456A-BEBE-EF697796FB60}"/>
                    </c:ext>
                  </c:extLst>
                </c:dPt>
                <c:dPt>
                  <c:idx val="37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4B-E1EB-456A-BEBE-EF697796FB60}"/>
                    </c:ext>
                  </c:extLst>
                </c:dPt>
                <c:dPt>
                  <c:idx val="37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4D-E1EB-456A-BEBE-EF697796FB60}"/>
                    </c:ext>
                  </c:extLst>
                </c:dPt>
                <c:dPt>
                  <c:idx val="37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4F-E1EB-456A-BEBE-EF697796FB60}"/>
                    </c:ext>
                  </c:extLst>
                </c:dPt>
                <c:dPt>
                  <c:idx val="37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51-E1EB-456A-BEBE-EF697796FB60}"/>
                    </c:ext>
                  </c:extLst>
                </c:dPt>
                <c:dPt>
                  <c:idx val="37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53-E1EB-456A-BEBE-EF697796FB60}"/>
                    </c:ext>
                  </c:extLst>
                </c:dPt>
                <c:dPt>
                  <c:idx val="37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55-E1EB-456A-BEBE-EF697796FB60}"/>
                    </c:ext>
                  </c:extLst>
                </c:dPt>
                <c:dPt>
                  <c:idx val="38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57-E1EB-456A-BEBE-EF697796FB60}"/>
                    </c:ext>
                  </c:extLst>
                </c:dPt>
                <c:dPt>
                  <c:idx val="38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59-E1EB-456A-BEBE-EF697796FB60}"/>
                    </c:ext>
                  </c:extLst>
                </c:dPt>
                <c:dPt>
                  <c:idx val="38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5B-E1EB-456A-BEBE-EF697796FB60}"/>
                    </c:ext>
                  </c:extLst>
                </c:dPt>
                <c:dPt>
                  <c:idx val="38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5D-E1EB-456A-BEBE-EF697796FB60}"/>
                    </c:ext>
                  </c:extLst>
                </c:dPt>
                <c:dPt>
                  <c:idx val="38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5F-E1EB-456A-BEBE-EF697796FB60}"/>
                    </c:ext>
                  </c:extLst>
                </c:dPt>
                <c:dPt>
                  <c:idx val="38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61-E1EB-456A-BEBE-EF697796FB60}"/>
                    </c:ext>
                  </c:extLst>
                </c:dPt>
                <c:dPt>
                  <c:idx val="38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63-E1EB-456A-BEBE-EF697796FB60}"/>
                    </c:ext>
                  </c:extLst>
                </c:dPt>
                <c:dPt>
                  <c:idx val="38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65-E1EB-456A-BEBE-EF697796FB60}"/>
                    </c:ext>
                  </c:extLst>
                </c:dPt>
                <c:dPt>
                  <c:idx val="38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67-E1EB-456A-BEBE-EF697796FB60}"/>
                    </c:ext>
                  </c:extLst>
                </c:dPt>
                <c:dPt>
                  <c:idx val="38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69-E1EB-456A-BEBE-EF697796FB60}"/>
                    </c:ext>
                  </c:extLst>
                </c:dPt>
                <c:dPt>
                  <c:idx val="39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6B-E1EB-456A-BEBE-EF697796FB60}"/>
                    </c:ext>
                  </c:extLst>
                </c:dPt>
                <c:dPt>
                  <c:idx val="39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6D-E1EB-456A-BEBE-EF697796FB60}"/>
                    </c:ext>
                  </c:extLst>
                </c:dPt>
                <c:dPt>
                  <c:idx val="39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6F-E1EB-456A-BEBE-EF697796FB60}"/>
                    </c:ext>
                  </c:extLst>
                </c:dPt>
                <c:dPt>
                  <c:idx val="39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71-E1EB-456A-BEBE-EF697796FB60}"/>
                    </c:ext>
                  </c:extLst>
                </c:dPt>
                <c:dPt>
                  <c:idx val="39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73-E1EB-456A-BEBE-EF697796FB60}"/>
                    </c:ext>
                  </c:extLst>
                </c:dPt>
                <c:dPt>
                  <c:idx val="39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75-E1EB-456A-BEBE-EF697796FB60}"/>
                    </c:ext>
                  </c:extLst>
                </c:dPt>
                <c:dPt>
                  <c:idx val="39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77-E1EB-456A-BEBE-EF697796FB60}"/>
                    </c:ext>
                  </c:extLst>
                </c:dPt>
                <c:dPt>
                  <c:idx val="39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79-E1EB-456A-BEBE-EF697796FB60}"/>
                    </c:ext>
                  </c:extLst>
                </c:dPt>
                <c:dPt>
                  <c:idx val="39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7B-E1EB-456A-BEBE-EF697796FB60}"/>
                    </c:ext>
                  </c:extLst>
                </c:dPt>
                <c:dPt>
                  <c:idx val="39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7D-E1EB-456A-BEBE-EF697796FB60}"/>
                    </c:ext>
                  </c:extLst>
                </c:dPt>
                <c:dPt>
                  <c:idx val="40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7F-E1EB-456A-BEBE-EF697796FB60}"/>
                    </c:ext>
                  </c:extLst>
                </c:dPt>
                <c:dPt>
                  <c:idx val="40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81-E1EB-456A-BEBE-EF697796FB60}"/>
                    </c:ext>
                  </c:extLst>
                </c:dPt>
                <c:dPt>
                  <c:idx val="40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83-E1EB-456A-BEBE-EF697796FB60}"/>
                    </c:ext>
                  </c:extLst>
                </c:dPt>
                <c:dPt>
                  <c:idx val="40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85-E1EB-456A-BEBE-EF697796FB60}"/>
                    </c:ext>
                  </c:extLst>
                </c:dPt>
                <c:dPt>
                  <c:idx val="40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87-E1EB-456A-BEBE-EF697796FB60}"/>
                    </c:ext>
                  </c:extLst>
                </c:dPt>
                <c:dPt>
                  <c:idx val="40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89-E1EB-456A-BEBE-EF697796FB60}"/>
                    </c:ext>
                  </c:extLst>
                </c:dPt>
                <c:dPt>
                  <c:idx val="40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8B-E1EB-456A-BEBE-EF697796FB60}"/>
                    </c:ext>
                  </c:extLst>
                </c:dPt>
                <c:dPt>
                  <c:idx val="40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8D-E1EB-456A-BEBE-EF697796FB60}"/>
                    </c:ext>
                  </c:extLst>
                </c:dPt>
                <c:dPt>
                  <c:idx val="40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8F-E1EB-456A-BEBE-EF697796FB60}"/>
                    </c:ext>
                  </c:extLst>
                </c:dPt>
                <c:dPt>
                  <c:idx val="40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91-E1EB-456A-BEBE-EF697796FB60}"/>
                    </c:ext>
                  </c:extLst>
                </c:dPt>
                <c:dPt>
                  <c:idx val="41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93-E1EB-456A-BEBE-EF697796FB60}"/>
                    </c:ext>
                  </c:extLst>
                </c:dPt>
                <c:dPt>
                  <c:idx val="41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95-E1EB-456A-BEBE-EF697796FB60}"/>
                    </c:ext>
                  </c:extLst>
                </c:dPt>
                <c:dPt>
                  <c:idx val="41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97-E1EB-456A-BEBE-EF697796FB60}"/>
                    </c:ext>
                  </c:extLst>
                </c:dPt>
                <c:dPt>
                  <c:idx val="41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99-E1EB-456A-BEBE-EF697796FB60}"/>
                    </c:ext>
                  </c:extLst>
                </c:dPt>
                <c:dPt>
                  <c:idx val="41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9B-E1EB-456A-BEBE-EF697796FB60}"/>
                    </c:ext>
                  </c:extLst>
                </c:dPt>
                <c:dPt>
                  <c:idx val="41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9D-E1EB-456A-BEBE-EF697796FB60}"/>
                    </c:ext>
                  </c:extLst>
                </c:dPt>
                <c:dPt>
                  <c:idx val="41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9F-E1EB-456A-BEBE-EF697796FB60}"/>
                    </c:ext>
                  </c:extLst>
                </c:dPt>
                <c:dPt>
                  <c:idx val="41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A1-E1EB-456A-BEBE-EF697796FB60}"/>
                    </c:ext>
                  </c:extLst>
                </c:dPt>
                <c:dPt>
                  <c:idx val="41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A3-E1EB-456A-BEBE-EF697796FB60}"/>
                    </c:ext>
                  </c:extLst>
                </c:dPt>
                <c:dPt>
                  <c:idx val="41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A5-E1EB-456A-BEBE-EF697796FB60}"/>
                    </c:ext>
                  </c:extLst>
                </c:dPt>
                <c:dPt>
                  <c:idx val="42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A7-E1EB-456A-BEBE-EF697796FB60}"/>
                    </c:ext>
                  </c:extLst>
                </c:dPt>
                <c:dPt>
                  <c:idx val="42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A9-E1EB-456A-BEBE-EF697796FB60}"/>
                    </c:ext>
                  </c:extLst>
                </c:dPt>
                <c:dPt>
                  <c:idx val="42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AB-E1EB-456A-BEBE-EF697796FB60}"/>
                    </c:ext>
                  </c:extLst>
                </c:dPt>
                <c:dPt>
                  <c:idx val="42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AD-E1EB-456A-BEBE-EF697796FB60}"/>
                    </c:ext>
                  </c:extLst>
                </c:dPt>
                <c:dPt>
                  <c:idx val="42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AF-E1EB-456A-BEBE-EF697796FB60}"/>
                    </c:ext>
                  </c:extLst>
                </c:dPt>
                <c:dPt>
                  <c:idx val="42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B1-E1EB-456A-BEBE-EF697796FB60}"/>
                    </c:ext>
                  </c:extLst>
                </c:dPt>
                <c:dPt>
                  <c:idx val="42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B3-E1EB-456A-BEBE-EF697796FB60}"/>
                    </c:ext>
                  </c:extLst>
                </c:dPt>
                <c:dPt>
                  <c:idx val="42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B5-E1EB-456A-BEBE-EF697796FB60}"/>
                    </c:ext>
                  </c:extLst>
                </c:dPt>
                <c:dPt>
                  <c:idx val="42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B7-E1EB-456A-BEBE-EF697796FB60}"/>
                    </c:ext>
                  </c:extLst>
                </c:dPt>
                <c:dPt>
                  <c:idx val="42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B9-E1EB-456A-BEBE-EF697796FB60}"/>
                    </c:ext>
                  </c:extLst>
                </c:dPt>
                <c:dPt>
                  <c:idx val="43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BB-E1EB-456A-BEBE-EF697796FB60}"/>
                    </c:ext>
                  </c:extLst>
                </c:dPt>
                <c:dPt>
                  <c:idx val="43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BD-E1EB-456A-BEBE-EF697796FB60}"/>
                    </c:ext>
                  </c:extLst>
                </c:dPt>
                <c:dPt>
                  <c:idx val="43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BF-E1EB-456A-BEBE-EF697796FB60}"/>
                    </c:ext>
                  </c:extLst>
                </c:dPt>
                <c:dPt>
                  <c:idx val="43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C1-E1EB-456A-BEBE-EF697796FB60}"/>
                    </c:ext>
                  </c:extLst>
                </c:dPt>
                <c:dPt>
                  <c:idx val="43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C3-E1EB-456A-BEBE-EF697796FB60}"/>
                    </c:ext>
                  </c:extLst>
                </c:dPt>
                <c:dPt>
                  <c:idx val="43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C5-E1EB-456A-BEBE-EF697796FB60}"/>
                    </c:ext>
                  </c:extLst>
                </c:dPt>
                <c:dPt>
                  <c:idx val="43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C7-E1EB-456A-BEBE-EF697796FB60}"/>
                    </c:ext>
                  </c:extLst>
                </c:dPt>
                <c:dPt>
                  <c:idx val="43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C9-E1EB-456A-BEBE-EF697796FB60}"/>
                    </c:ext>
                  </c:extLst>
                </c:dPt>
                <c:dPt>
                  <c:idx val="43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CB-E1EB-456A-BEBE-EF697796FB60}"/>
                    </c:ext>
                  </c:extLst>
                </c:dPt>
                <c:dPt>
                  <c:idx val="43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CD-E1EB-456A-BEBE-EF697796FB60}"/>
                    </c:ext>
                  </c:extLst>
                </c:dPt>
                <c:dPt>
                  <c:idx val="44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CF-E1EB-456A-BEBE-EF697796FB60}"/>
                    </c:ext>
                  </c:extLst>
                </c:dPt>
                <c:dPt>
                  <c:idx val="44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D1-E1EB-456A-BEBE-EF697796FB60}"/>
                    </c:ext>
                  </c:extLst>
                </c:dPt>
                <c:dPt>
                  <c:idx val="44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D3-E1EB-456A-BEBE-EF697796FB60}"/>
                    </c:ext>
                  </c:extLst>
                </c:dPt>
                <c:dPt>
                  <c:idx val="44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D5-E1EB-456A-BEBE-EF697796FB60}"/>
                    </c:ext>
                  </c:extLst>
                </c:dPt>
                <c:dPt>
                  <c:idx val="44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D7-E1EB-456A-BEBE-EF697796FB60}"/>
                    </c:ext>
                  </c:extLst>
                </c:dPt>
                <c:dPt>
                  <c:idx val="44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D9-E1EB-456A-BEBE-EF697796FB60}"/>
                    </c:ext>
                  </c:extLst>
                </c:dPt>
                <c:dPt>
                  <c:idx val="44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DB-E1EB-456A-BEBE-EF697796FB60}"/>
                    </c:ext>
                  </c:extLst>
                </c:dPt>
                <c:dPt>
                  <c:idx val="44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DD-E1EB-456A-BEBE-EF697796FB60}"/>
                    </c:ext>
                  </c:extLst>
                </c:dPt>
                <c:dPt>
                  <c:idx val="44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DF-E1EB-456A-BEBE-EF697796FB60}"/>
                    </c:ext>
                  </c:extLst>
                </c:dPt>
                <c:dPt>
                  <c:idx val="44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E1-E1EB-456A-BEBE-EF697796FB60}"/>
                    </c:ext>
                  </c:extLst>
                </c:dPt>
                <c:dPt>
                  <c:idx val="45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E3-E1EB-456A-BEBE-EF697796FB60}"/>
                    </c:ext>
                  </c:extLst>
                </c:dPt>
                <c:dPt>
                  <c:idx val="45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E5-E1EB-456A-BEBE-EF697796FB60}"/>
                    </c:ext>
                  </c:extLst>
                </c:dPt>
                <c:dPt>
                  <c:idx val="45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E7-E1EB-456A-BEBE-EF697796FB60}"/>
                    </c:ext>
                  </c:extLst>
                </c:dPt>
                <c:dPt>
                  <c:idx val="45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E9-E1EB-456A-BEBE-EF697796FB60}"/>
                    </c:ext>
                  </c:extLst>
                </c:dPt>
                <c:dPt>
                  <c:idx val="45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EB-E1EB-456A-BEBE-EF697796FB60}"/>
                    </c:ext>
                  </c:extLst>
                </c:dPt>
                <c:dPt>
                  <c:idx val="45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ED-E1EB-456A-BEBE-EF697796FB60}"/>
                    </c:ext>
                  </c:extLst>
                </c:dPt>
                <c:dPt>
                  <c:idx val="45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EF-E1EB-456A-BEBE-EF697796FB60}"/>
                    </c:ext>
                  </c:extLst>
                </c:dPt>
                <c:dPt>
                  <c:idx val="45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F1-E1EB-456A-BEBE-EF697796FB60}"/>
                    </c:ext>
                  </c:extLst>
                </c:dPt>
                <c:dPt>
                  <c:idx val="45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F3-E1EB-456A-BEBE-EF697796FB60}"/>
                    </c:ext>
                  </c:extLst>
                </c:dPt>
                <c:dPt>
                  <c:idx val="45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F5-E1EB-456A-BEBE-EF697796FB60}"/>
                    </c:ext>
                  </c:extLst>
                </c:dPt>
                <c:dPt>
                  <c:idx val="46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F7-E1EB-456A-BEBE-EF697796FB60}"/>
                    </c:ext>
                  </c:extLst>
                </c:dPt>
                <c:dPt>
                  <c:idx val="46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F9-E1EB-456A-BEBE-EF697796FB60}"/>
                    </c:ext>
                  </c:extLst>
                </c:dPt>
                <c:dPt>
                  <c:idx val="46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FB-E1EB-456A-BEBE-EF697796FB60}"/>
                    </c:ext>
                  </c:extLst>
                </c:dPt>
                <c:dPt>
                  <c:idx val="46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FD-E1EB-456A-BEBE-EF697796FB60}"/>
                    </c:ext>
                  </c:extLst>
                </c:dPt>
                <c:dPt>
                  <c:idx val="46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FF-E1EB-456A-BEBE-EF697796FB60}"/>
                    </c:ext>
                  </c:extLst>
                </c:dPt>
                <c:dPt>
                  <c:idx val="46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01-E1EB-456A-BEBE-EF697796FB60}"/>
                    </c:ext>
                  </c:extLst>
                </c:dPt>
                <c:dPt>
                  <c:idx val="46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03-E1EB-456A-BEBE-EF697796FB60}"/>
                    </c:ext>
                  </c:extLst>
                </c:dPt>
                <c:dPt>
                  <c:idx val="46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05-E1EB-456A-BEBE-EF697796FB60}"/>
                    </c:ext>
                  </c:extLst>
                </c:dPt>
                <c:dPt>
                  <c:idx val="46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07-E1EB-456A-BEBE-EF697796FB60}"/>
                    </c:ext>
                  </c:extLst>
                </c:dPt>
                <c:dPt>
                  <c:idx val="46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09-E1EB-456A-BEBE-EF697796FB60}"/>
                    </c:ext>
                  </c:extLst>
                </c:dPt>
                <c:dPt>
                  <c:idx val="47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0B-E1EB-456A-BEBE-EF697796FB60}"/>
                    </c:ext>
                  </c:extLst>
                </c:dPt>
                <c:dPt>
                  <c:idx val="47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0D-E1EB-456A-BEBE-EF697796FB60}"/>
                    </c:ext>
                  </c:extLst>
                </c:dPt>
                <c:dPt>
                  <c:idx val="47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0F-E1EB-456A-BEBE-EF697796FB60}"/>
                    </c:ext>
                  </c:extLst>
                </c:dPt>
                <c:dPt>
                  <c:idx val="47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11-E1EB-456A-BEBE-EF697796FB60}"/>
                    </c:ext>
                  </c:extLst>
                </c:dPt>
                <c:dPt>
                  <c:idx val="47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13-E1EB-456A-BEBE-EF697796FB60}"/>
                    </c:ext>
                  </c:extLst>
                </c:dPt>
                <c:dPt>
                  <c:idx val="47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15-E1EB-456A-BEBE-EF697796FB60}"/>
                    </c:ext>
                  </c:extLst>
                </c:dPt>
                <c:dPt>
                  <c:idx val="47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17-E1EB-456A-BEBE-EF697796FB60}"/>
                    </c:ext>
                  </c:extLst>
                </c:dPt>
                <c:dPt>
                  <c:idx val="47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19-E1EB-456A-BEBE-EF697796FB60}"/>
                    </c:ext>
                  </c:extLst>
                </c:dPt>
                <c:dPt>
                  <c:idx val="47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1B-E1EB-456A-BEBE-EF697796FB60}"/>
                    </c:ext>
                  </c:extLst>
                </c:dPt>
                <c:dPt>
                  <c:idx val="47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1D-E1EB-456A-BEBE-EF697796FB60}"/>
                    </c:ext>
                  </c:extLst>
                </c:dPt>
                <c:dPt>
                  <c:idx val="48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1F-E1EB-456A-BEBE-EF697796FB60}"/>
                    </c:ext>
                  </c:extLst>
                </c:dPt>
                <c:dPt>
                  <c:idx val="48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21-E1EB-456A-BEBE-EF697796FB60}"/>
                    </c:ext>
                  </c:extLst>
                </c:dPt>
                <c:dPt>
                  <c:idx val="48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23-E1EB-456A-BEBE-EF697796FB60}"/>
                    </c:ext>
                  </c:extLst>
                </c:dPt>
                <c:dPt>
                  <c:idx val="48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25-E1EB-456A-BEBE-EF697796FB60}"/>
                    </c:ext>
                  </c:extLst>
                </c:dPt>
                <c:dPt>
                  <c:idx val="48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27-E1EB-456A-BEBE-EF697796FB60}"/>
                    </c:ext>
                  </c:extLst>
                </c:dPt>
                <c:dPt>
                  <c:idx val="48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29-E1EB-456A-BEBE-EF697796FB60}"/>
                    </c:ext>
                  </c:extLst>
                </c:dPt>
                <c:dPt>
                  <c:idx val="48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2B-E1EB-456A-BEBE-EF697796FB60}"/>
                    </c:ext>
                  </c:extLst>
                </c:dPt>
                <c:dPt>
                  <c:idx val="48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2D-E1EB-456A-BEBE-EF697796FB60}"/>
                    </c:ext>
                  </c:extLst>
                </c:dPt>
                <c:dPt>
                  <c:idx val="48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2F-E1EB-456A-BEBE-EF697796FB60}"/>
                    </c:ext>
                  </c:extLst>
                </c:dPt>
                <c:dPt>
                  <c:idx val="48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31-E1EB-456A-BEBE-EF697796FB60}"/>
                    </c:ext>
                  </c:extLst>
                </c:dPt>
                <c:dPt>
                  <c:idx val="49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33-E1EB-456A-BEBE-EF697796FB60}"/>
                    </c:ext>
                  </c:extLst>
                </c:dPt>
                <c:dPt>
                  <c:idx val="49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35-E1EB-456A-BEBE-EF697796FB60}"/>
                    </c:ext>
                  </c:extLst>
                </c:dPt>
                <c:dPt>
                  <c:idx val="49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37-E1EB-456A-BEBE-EF697796FB60}"/>
                    </c:ext>
                  </c:extLst>
                </c:dPt>
                <c:dPt>
                  <c:idx val="49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39-E1EB-456A-BEBE-EF697796FB60}"/>
                    </c:ext>
                  </c:extLst>
                </c:dPt>
                <c:dPt>
                  <c:idx val="49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3B-E1EB-456A-BEBE-EF697796FB60}"/>
                    </c:ext>
                  </c:extLst>
                </c:dPt>
                <c:dPt>
                  <c:idx val="49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3D-E1EB-456A-BEBE-EF697796FB60}"/>
                    </c:ext>
                  </c:extLst>
                </c:dPt>
                <c:dPt>
                  <c:idx val="49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3F-E1EB-456A-BEBE-EF697796FB60}"/>
                    </c:ext>
                  </c:extLst>
                </c:dPt>
                <c:dPt>
                  <c:idx val="49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41-E1EB-456A-BEBE-EF697796FB60}"/>
                    </c:ext>
                  </c:extLst>
                </c:dPt>
                <c:dPt>
                  <c:idx val="49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43-E1EB-456A-BEBE-EF697796FB60}"/>
                    </c:ext>
                  </c:extLst>
                </c:dPt>
                <c:dPt>
                  <c:idx val="49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45-E1EB-456A-BEBE-EF697796FB60}"/>
                    </c:ext>
                  </c:extLst>
                </c:dPt>
                <c:dPt>
                  <c:idx val="50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47-E1EB-456A-BEBE-EF697796FB60}"/>
                    </c:ext>
                  </c:extLst>
                </c:dPt>
                <c:dPt>
                  <c:idx val="50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49-E1EB-456A-BEBE-EF697796FB60}"/>
                    </c:ext>
                  </c:extLst>
                </c:dPt>
                <c:dPt>
                  <c:idx val="50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4B-E1EB-456A-BEBE-EF697796FB60}"/>
                    </c:ext>
                  </c:extLst>
                </c:dPt>
                <c:dPt>
                  <c:idx val="50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4D-E1EB-456A-BEBE-EF697796FB60}"/>
                    </c:ext>
                  </c:extLst>
                </c:dPt>
                <c:dPt>
                  <c:idx val="50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4F-E1EB-456A-BEBE-EF697796FB60}"/>
                    </c:ext>
                  </c:extLst>
                </c:dPt>
                <c:dPt>
                  <c:idx val="50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51-E1EB-456A-BEBE-EF697796FB60}"/>
                    </c:ext>
                  </c:extLst>
                </c:dPt>
                <c:dPt>
                  <c:idx val="50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53-E1EB-456A-BEBE-EF697796FB60}"/>
                    </c:ext>
                  </c:extLst>
                </c:dPt>
                <c:dPt>
                  <c:idx val="50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55-E1EB-456A-BEBE-EF697796FB60}"/>
                    </c:ext>
                  </c:extLst>
                </c:dPt>
                <c:dPt>
                  <c:idx val="50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57-E1EB-456A-BEBE-EF697796FB60}"/>
                    </c:ext>
                  </c:extLst>
                </c:dPt>
                <c:dPt>
                  <c:idx val="50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59-E1EB-456A-BEBE-EF697796FB60}"/>
                    </c:ext>
                  </c:extLst>
                </c:dPt>
                <c:dPt>
                  <c:idx val="51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5B-E1EB-456A-BEBE-EF697796FB60}"/>
                    </c:ext>
                  </c:extLst>
                </c:dPt>
                <c:dPt>
                  <c:idx val="51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5D-E1EB-456A-BEBE-EF697796FB60}"/>
                    </c:ext>
                  </c:extLst>
                </c:dPt>
                <c:dPt>
                  <c:idx val="51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5F-E1EB-456A-BEBE-EF697796FB60}"/>
                    </c:ext>
                  </c:extLst>
                </c:dPt>
                <c:dPt>
                  <c:idx val="51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61-E1EB-456A-BEBE-EF697796FB60}"/>
                    </c:ext>
                  </c:extLst>
                </c:dPt>
                <c:dPt>
                  <c:idx val="51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63-E1EB-456A-BEBE-EF697796FB60}"/>
                    </c:ext>
                  </c:extLst>
                </c:dPt>
                <c:dPt>
                  <c:idx val="51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65-E1EB-456A-BEBE-EF697796FB60}"/>
                    </c:ext>
                  </c:extLst>
                </c:dPt>
                <c:dPt>
                  <c:idx val="51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67-E1EB-456A-BEBE-EF697796FB60}"/>
                    </c:ext>
                  </c:extLst>
                </c:dPt>
                <c:dPt>
                  <c:idx val="51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69-E1EB-456A-BEBE-EF697796FB60}"/>
                    </c:ext>
                  </c:extLst>
                </c:dPt>
                <c:dPt>
                  <c:idx val="51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6B-E1EB-456A-BEBE-EF697796FB60}"/>
                    </c:ext>
                  </c:extLst>
                </c:dPt>
                <c:dPt>
                  <c:idx val="51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6D-E1EB-456A-BEBE-EF697796FB60}"/>
                    </c:ext>
                  </c:extLst>
                </c:dPt>
                <c:dPt>
                  <c:idx val="52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6F-E1EB-456A-BEBE-EF697796FB60}"/>
                    </c:ext>
                  </c:extLst>
                </c:dPt>
                <c:dPt>
                  <c:idx val="52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71-E1EB-456A-BEBE-EF697796FB60}"/>
                    </c:ext>
                  </c:extLst>
                </c:dPt>
                <c:dPt>
                  <c:idx val="52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73-E1EB-456A-BEBE-EF697796FB60}"/>
                    </c:ext>
                  </c:extLst>
                </c:dPt>
                <c:dPt>
                  <c:idx val="52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75-E1EB-456A-BEBE-EF697796FB60}"/>
                    </c:ext>
                  </c:extLst>
                </c:dPt>
                <c:dPt>
                  <c:idx val="52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77-E1EB-456A-BEBE-EF697796FB60}"/>
                    </c:ext>
                  </c:extLst>
                </c:dPt>
                <c:dPt>
                  <c:idx val="52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79-E1EB-456A-BEBE-EF697796FB60}"/>
                    </c:ext>
                  </c:extLst>
                </c:dPt>
                <c:dPt>
                  <c:idx val="52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7B-E1EB-456A-BEBE-EF697796FB60}"/>
                    </c:ext>
                  </c:extLst>
                </c:dPt>
                <c:dPt>
                  <c:idx val="52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7D-E1EB-456A-BEBE-EF697796FB60}"/>
                    </c:ext>
                  </c:extLst>
                </c:dPt>
                <c:dPt>
                  <c:idx val="52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7F-E1EB-456A-BEBE-EF697796FB60}"/>
                    </c:ext>
                  </c:extLst>
                </c:dPt>
                <c:dPt>
                  <c:idx val="52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81-E1EB-456A-BEBE-EF697796FB60}"/>
                    </c:ext>
                  </c:extLst>
                </c:dPt>
                <c:dPt>
                  <c:idx val="53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83-E1EB-456A-BEBE-EF697796FB60}"/>
                    </c:ext>
                  </c:extLst>
                </c:dPt>
                <c:dPt>
                  <c:idx val="53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85-E1EB-456A-BEBE-EF697796FB60}"/>
                    </c:ext>
                  </c:extLst>
                </c:dPt>
                <c:dPt>
                  <c:idx val="53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87-E1EB-456A-BEBE-EF697796FB60}"/>
                    </c:ext>
                  </c:extLst>
                </c:dPt>
                <c:dPt>
                  <c:idx val="53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89-E1EB-456A-BEBE-EF697796FB60}"/>
                    </c:ext>
                  </c:extLst>
                </c:dPt>
                <c:dPt>
                  <c:idx val="53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8B-E1EB-456A-BEBE-EF697796FB60}"/>
                    </c:ext>
                  </c:extLst>
                </c:dPt>
                <c:dPt>
                  <c:idx val="53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8D-E1EB-456A-BEBE-EF697796FB60}"/>
                    </c:ext>
                  </c:extLst>
                </c:dPt>
                <c:dPt>
                  <c:idx val="53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8F-E1EB-456A-BEBE-EF697796FB60}"/>
                    </c:ext>
                  </c:extLst>
                </c:dPt>
                <c:dPt>
                  <c:idx val="53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91-E1EB-456A-BEBE-EF697796FB60}"/>
                    </c:ext>
                  </c:extLst>
                </c:dPt>
                <c:dPt>
                  <c:idx val="53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93-E1EB-456A-BEBE-EF697796FB60}"/>
                    </c:ext>
                  </c:extLst>
                </c:dPt>
                <c:dPt>
                  <c:idx val="53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95-E1EB-456A-BEBE-EF697796FB60}"/>
                    </c:ext>
                  </c:extLst>
                </c:dPt>
                <c:dPt>
                  <c:idx val="54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97-E1EB-456A-BEBE-EF697796FB60}"/>
                    </c:ext>
                  </c:extLst>
                </c:dPt>
                <c:dPt>
                  <c:idx val="54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99-E1EB-456A-BEBE-EF697796FB60}"/>
                    </c:ext>
                  </c:extLst>
                </c:dPt>
                <c:dPt>
                  <c:idx val="54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9B-E1EB-456A-BEBE-EF697796FB60}"/>
                    </c:ext>
                  </c:extLst>
                </c:dPt>
                <c:dPt>
                  <c:idx val="54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9D-E1EB-456A-BEBE-EF697796FB60}"/>
                    </c:ext>
                  </c:extLst>
                </c:dPt>
                <c:dPt>
                  <c:idx val="54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9F-E1EB-456A-BEBE-EF697796FB60}"/>
                    </c:ext>
                  </c:extLst>
                </c:dPt>
                <c:dPt>
                  <c:idx val="54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A1-E1EB-456A-BEBE-EF697796FB60}"/>
                    </c:ext>
                  </c:extLst>
                </c:dPt>
                <c:dPt>
                  <c:idx val="54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A3-E1EB-456A-BEBE-EF697796FB60}"/>
                    </c:ext>
                  </c:extLst>
                </c:dPt>
                <c:dPt>
                  <c:idx val="54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A5-E1EB-456A-BEBE-EF697796FB60}"/>
                    </c:ext>
                  </c:extLst>
                </c:dPt>
                <c:dPt>
                  <c:idx val="54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A7-E1EB-456A-BEBE-EF697796FB60}"/>
                    </c:ext>
                  </c:extLst>
                </c:dPt>
                <c:dPt>
                  <c:idx val="54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A9-E1EB-456A-BEBE-EF697796FB60}"/>
                    </c:ext>
                  </c:extLst>
                </c:dPt>
                <c:dPt>
                  <c:idx val="55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AB-E1EB-456A-BEBE-EF697796FB60}"/>
                    </c:ext>
                  </c:extLst>
                </c:dPt>
                <c:dPt>
                  <c:idx val="55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AD-E1EB-456A-BEBE-EF697796FB60}"/>
                    </c:ext>
                  </c:extLst>
                </c:dPt>
                <c:dPt>
                  <c:idx val="55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AF-E1EB-456A-BEBE-EF697796FB60}"/>
                    </c:ext>
                  </c:extLst>
                </c:dPt>
                <c:dPt>
                  <c:idx val="55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B1-E1EB-456A-BEBE-EF697796FB60}"/>
                    </c:ext>
                  </c:extLst>
                </c:dPt>
                <c:dPt>
                  <c:idx val="55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B3-E1EB-456A-BEBE-EF697796FB60}"/>
                    </c:ext>
                  </c:extLst>
                </c:dPt>
                <c:dPt>
                  <c:idx val="55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B5-E1EB-456A-BEBE-EF697796FB60}"/>
                    </c:ext>
                  </c:extLst>
                </c:dPt>
                <c:dPt>
                  <c:idx val="55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B7-E1EB-456A-BEBE-EF697796FB60}"/>
                    </c:ext>
                  </c:extLst>
                </c:dPt>
                <c:dPt>
                  <c:idx val="55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B9-E1EB-456A-BEBE-EF697796FB60}"/>
                    </c:ext>
                  </c:extLst>
                </c:dPt>
                <c:dPt>
                  <c:idx val="55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BB-E1EB-456A-BEBE-EF697796FB60}"/>
                    </c:ext>
                  </c:extLst>
                </c:dPt>
                <c:dPt>
                  <c:idx val="55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BD-E1EB-456A-BEBE-EF697796FB60}"/>
                    </c:ext>
                  </c:extLst>
                </c:dPt>
                <c:dPt>
                  <c:idx val="56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BF-E1EB-456A-BEBE-EF697796FB60}"/>
                    </c:ext>
                  </c:extLst>
                </c:dPt>
                <c:dPt>
                  <c:idx val="56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C1-E1EB-456A-BEBE-EF697796FB60}"/>
                    </c:ext>
                  </c:extLst>
                </c:dPt>
                <c:dPt>
                  <c:idx val="56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C3-E1EB-456A-BEBE-EF697796FB60}"/>
                    </c:ext>
                  </c:extLst>
                </c:dPt>
                <c:dPt>
                  <c:idx val="56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C5-E1EB-456A-BEBE-EF697796FB60}"/>
                    </c:ext>
                  </c:extLst>
                </c:dPt>
                <c:dPt>
                  <c:idx val="56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C7-E1EB-456A-BEBE-EF697796FB60}"/>
                    </c:ext>
                  </c:extLst>
                </c:dPt>
                <c:dPt>
                  <c:idx val="56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C9-E1EB-456A-BEBE-EF697796FB60}"/>
                    </c:ext>
                  </c:extLst>
                </c:dPt>
                <c:dPt>
                  <c:idx val="56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CB-E1EB-456A-BEBE-EF697796FB60}"/>
                    </c:ext>
                  </c:extLst>
                </c:dPt>
                <c:dPt>
                  <c:idx val="56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CD-E1EB-456A-BEBE-EF697796FB60}"/>
                    </c:ext>
                  </c:extLst>
                </c:dPt>
                <c:dPt>
                  <c:idx val="56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CF-E1EB-456A-BEBE-EF697796FB60}"/>
                    </c:ext>
                  </c:extLst>
                </c:dPt>
                <c:dPt>
                  <c:idx val="56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D1-E1EB-456A-BEBE-EF697796FB60}"/>
                    </c:ext>
                  </c:extLst>
                </c:dPt>
                <c:dPt>
                  <c:idx val="57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D3-E1EB-456A-BEBE-EF697796FB60}"/>
                    </c:ext>
                  </c:extLst>
                </c:dPt>
                <c:dPt>
                  <c:idx val="57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D5-E1EB-456A-BEBE-EF697796FB60}"/>
                    </c:ext>
                  </c:extLst>
                </c:dPt>
                <c:dPt>
                  <c:idx val="57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D7-E1EB-456A-BEBE-EF697796FB60}"/>
                    </c:ext>
                  </c:extLst>
                </c:dPt>
                <c:dPt>
                  <c:idx val="57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D9-E1EB-456A-BEBE-EF697796FB60}"/>
                    </c:ext>
                  </c:extLst>
                </c:dPt>
                <c:dPt>
                  <c:idx val="57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DB-E1EB-456A-BEBE-EF697796FB60}"/>
                    </c:ext>
                  </c:extLst>
                </c:dPt>
                <c:dPt>
                  <c:idx val="57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DD-E1EB-456A-BEBE-EF697796FB60}"/>
                    </c:ext>
                  </c:extLst>
                </c:dPt>
                <c:dPt>
                  <c:idx val="57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DF-E1EB-456A-BEBE-EF697796FB60}"/>
                    </c:ext>
                  </c:extLst>
                </c:dPt>
                <c:dPt>
                  <c:idx val="57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E1-E1EB-456A-BEBE-EF697796FB60}"/>
                    </c:ext>
                  </c:extLst>
                </c:dPt>
                <c:dPt>
                  <c:idx val="57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E3-E1EB-456A-BEBE-EF697796FB60}"/>
                    </c:ext>
                  </c:extLst>
                </c:dPt>
                <c:dPt>
                  <c:idx val="57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E5-E1EB-456A-BEBE-EF697796FB60}"/>
                    </c:ext>
                  </c:extLst>
                </c:dPt>
                <c:dPt>
                  <c:idx val="58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E7-E1EB-456A-BEBE-EF697796FB60}"/>
                    </c:ext>
                  </c:extLst>
                </c:dPt>
                <c:dPt>
                  <c:idx val="58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E9-E1EB-456A-BEBE-EF697796FB60}"/>
                    </c:ext>
                  </c:extLst>
                </c:dPt>
                <c:dPt>
                  <c:idx val="58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EB-E1EB-456A-BEBE-EF697796FB60}"/>
                    </c:ext>
                  </c:extLst>
                </c:dPt>
                <c:dPt>
                  <c:idx val="58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ED-E1EB-456A-BEBE-EF697796FB60}"/>
                    </c:ext>
                  </c:extLst>
                </c:dPt>
                <c:dPt>
                  <c:idx val="58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EF-E1EB-456A-BEBE-EF697796FB60}"/>
                    </c:ext>
                  </c:extLst>
                </c:dPt>
                <c:dPt>
                  <c:idx val="58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F1-E1EB-456A-BEBE-EF697796FB60}"/>
                    </c:ext>
                  </c:extLst>
                </c:dPt>
                <c:dPt>
                  <c:idx val="58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F3-E1EB-456A-BEBE-EF697796FB60}"/>
                    </c:ext>
                  </c:extLst>
                </c:dPt>
                <c:dPt>
                  <c:idx val="58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F5-E1EB-456A-BEBE-EF697796FB60}"/>
                    </c:ext>
                  </c:extLst>
                </c:dPt>
                <c:dPt>
                  <c:idx val="58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F7-E1EB-456A-BEBE-EF697796FB60}"/>
                    </c:ext>
                  </c:extLst>
                </c:dPt>
                <c:dPt>
                  <c:idx val="58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F9-E1EB-456A-BEBE-EF697796FB60}"/>
                    </c:ext>
                  </c:extLst>
                </c:dPt>
                <c:dPt>
                  <c:idx val="59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FB-E1EB-456A-BEBE-EF697796FB60}"/>
                    </c:ext>
                  </c:extLst>
                </c:dPt>
                <c:dPt>
                  <c:idx val="59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FD-E1EB-456A-BEBE-EF697796FB60}"/>
                    </c:ext>
                  </c:extLst>
                </c:dPt>
                <c:dPt>
                  <c:idx val="59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FF-E1EB-456A-BEBE-EF697796FB60}"/>
                    </c:ext>
                  </c:extLst>
                </c:dPt>
                <c:dPt>
                  <c:idx val="59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01-E1EB-456A-BEBE-EF697796FB60}"/>
                    </c:ext>
                  </c:extLst>
                </c:dPt>
                <c:dPt>
                  <c:idx val="59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03-E1EB-456A-BEBE-EF697796FB60}"/>
                    </c:ext>
                  </c:extLst>
                </c:dPt>
                <c:dPt>
                  <c:idx val="59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05-E1EB-456A-BEBE-EF697796FB60}"/>
                    </c:ext>
                  </c:extLst>
                </c:dPt>
                <c:dPt>
                  <c:idx val="59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07-E1EB-456A-BEBE-EF697796FB60}"/>
                    </c:ext>
                  </c:extLst>
                </c:dPt>
                <c:dPt>
                  <c:idx val="59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09-E1EB-456A-BEBE-EF697796FB60}"/>
                    </c:ext>
                  </c:extLst>
                </c:dPt>
                <c:dPt>
                  <c:idx val="59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0B-E1EB-456A-BEBE-EF697796FB60}"/>
                    </c:ext>
                  </c:extLst>
                </c:dPt>
                <c:dPt>
                  <c:idx val="59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0D-E1EB-456A-BEBE-EF697796FB60}"/>
                    </c:ext>
                  </c:extLst>
                </c:dPt>
                <c:dPt>
                  <c:idx val="60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0F-E1EB-456A-BEBE-EF697796FB60}"/>
                    </c:ext>
                  </c:extLst>
                </c:dPt>
                <c:dPt>
                  <c:idx val="60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11-E1EB-456A-BEBE-EF697796FB60}"/>
                    </c:ext>
                  </c:extLst>
                </c:dPt>
                <c:dPt>
                  <c:idx val="60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13-E1EB-456A-BEBE-EF697796FB60}"/>
                    </c:ext>
                  </c:extLst>
                </c:dPt>
                <c:dPt>
                  <c:idx val="60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15-E1EB-456A-BEBE-EF697796FB60}"/>
                    </c:ext>
                  </c:extLst>
                </c:dPt>
                <c:dPt>
                  <c:idx val="60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17-E1EB-456A-BEBE-EF697796FB60}"/>
                    </c:ext>
                  </c:extLst>
                </c:dPt>
                <c:dPt>
                  <c:idx val="60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19-E1EB-456A-BEBE-EF697796FB60}"/>
                    </c:ext>
                  </c:extLst>
                </c:dPt>
                <c:dPt>
                  <c:idx val="60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1B-E1EB-456A-BEBE-EF697796FB60}"/>
                    </c:ext>
                  </c:extLst>
                </c:dPt>
                <c:dPt>
                  <c:idx val="60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1D-E1EB-456A-BEBE-EF697796FB60}"/>
                    </c:ext>
                  </c:extLst>
                </c:dPt>
                <c:dPt>
                  <c:idx val="60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1F-E1EB-456A-BEBE-EF697796FB60}"/>
                    </c:ext>
                  </c:extLst>
                </c:dPt>
                <c:dPt>
                  <c:idx val="60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21-E1EB-456A-BEBE-EF697796FB60}"/>
                    </c:ext>
                  </c:extLst>
                </c:dPt>
                <c:dPt>
                  <c:idx val="61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23-E1EB-456A-BEBE-EF697796FB60}"/>
                    </c:ext>
                  </c:extLst>
                </c:dPt>
                <c:dPt>
                  <c:idx val="61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25-E1EB-456A-BEBE-EF697796FB60}"/>
                    </c:ext>
                  </c:extLst>
                </c:dPt>
                <c:dPt>
                  <c:idx val="61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27-E1EB-456A-BEBE-EF697796FB60}"/>
                    </c:ext>
                  </c:extLst>
                </c:dPt>
                <c:dPt>
                  <c:idx val="61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29-E1EB-456A-BEBE-EF697796FB60}"/>
                    </c:ext>
                  </c:extLst>
                </c:dPt>
                <c:dPt>
                  <c:idx val="61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2B-E1EB-456A-BEBE-EF697796FB60}"/>
                    </c:ext>
                  </c:extLst>
                </c:dPt>
                <c:dPt>
                  <c:idx val="61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2D-E1EB-456A-BEBE-EF697796FB60}"/>
                    </c:ext>
                  </c:extLst>
                </c:dPt>
                <c:dPt>
                  <c:idx val="61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2F-E1EB-456A-BEBE-EF697796FB60}"/>
                    </c:ext>
                  </c:extLst>
                </c:dPt>
                <c:dPt>
                  <c:idx val="61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31-E1EB-456A-BEBE-EF697796FB60}"/>
                    </c:ext>
                  </c:extLst>
                </c:dPt>
                <c:dPt>
                  <c:idx val="61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33-E1EB-456A-BEBE-EF697796FB60}"/>
                    </c:ext>
                  </c:extLst>
                </c:dPt>
                <c:dPt>
                  <c:idx val="61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35-E1EB-456A-BEBE-EF697796FB60}"/>
                    </c:ext>
                  </c:extLst>
                </c:dPt>
                <c:dPt>
                  <c:idx val="62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37-E1EB-456A-BEBE-EF697796FB60}"/>
                    </c:ext>
                  </c:extLst>
                </c:dPt>
                <c:dPt>
                  <c:idx val="62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39-E1EB-456A-BEBE-EF697796FB60}"/>
                    </c:ext>
                  </c:extLst>
                </c:dPt>
                <c:dPt>
                  <c:idx val="62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3B-E1EB-456A-BEBE-EF697796FB60}"/>
                    </c:ext>
                  </c:extLst>
                </c:dPt>
                <c:dPt>
                  <c:idx val="62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3D-E1EB-456A-BEBE-EF697796FB60}"/>
                    </c:ext>
                  </c:extLst>
                </c:dPt>
                <c:dPt>
                  <c:idx val="62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3F-E1EB-456A-BEBE-EF697796FB60}"/>
                    </c:ext>
                  </c:extLst>
                </c:dPt>
                <c:dPt>
                  <c:idx val="62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41-E1EB-456A-BEBE-EF697796FB60}"/>
                    </c:ext>
                  </c:extLst>
                </c:dPt>
                <c:dPt>
                  <c:idx val="62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43-E1EB-456A-BEBE-EF697796FB60}"/>
                    </c:ext>
                  </c:extLst>
                </c:dPt>
                <c:dPt>
                  <c:idx val="62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45-E1EB-456A-BEBE-EF697796FB60}"/>
                    </c:ext>
                  </c:extLst>
                </c:dPt>
                <c:dPt>
                  <c:idx val="62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47-E1EB-456A-BEBE-EF697796FB60}"/>
                    </c:ext>
                  </c:extLst>
                </c:dPt>
                <c:dPt>
                  <c:idx val="62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49-E1EB-456A-BEBE-EF697796FB60}"/>
                    </c:ext>
                  </c:extLst>
                </c:dPt>
                <c:dPt>
                  <c:idx val="63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4B-E1EB-456A-BEBE-EF697796FB60}"/>
                    </c:ext>
                  </c:extLst>
                </c:dPt>
                <c:dPt>
                  <c:idx val="63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4D-E1EB-456A-BEBE-EF697796FB60}"/>
                    </c:ext>
                  </c:extLst>
                </c:dPt>
                <c:dPt>
                  <c:idx val="63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4F-E1EB-456A-BEBE-EF697796FB60}"/>
                    </c:ext>
                  </c:extLst>
                </c:dPt>
                <c:dPt>
                  <c:idx val="63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51-E1EB-456A-BEBE-EF697796FB60}"/>
                    </c:ext>
                  </c:extLst>
                </c:dPt>
                <c:dPt>
                  <c:idx val="63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53-E1EB-456A-BEBE-EF697796FB60}"/>
                    </c:ext>
                  </c:extLst>
                </c:dPt>
                <c:dPt>
                  <c:idx val="63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55-E1EB-456A-BEBE-EF697796FB60}"/>
                    </c:ext>
                  </c:extLst>
                </c:dPt>
                <c:dPt>
                  <c:idx val="63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57-E1EB-456A-BEBE-EF697796FB60}"/>
                    </c:ext>
                  </c:extLst>
                </c:dPt>
                <c:dPt>
                  <c:idx val="63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59-E1EB-456A-BEBE-EF697796FB60}"/>
                    </c:ext>
                  </c:extLst>
                </c:dPt>
                <c:dPt>
                  <c:idx val="63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5B-E1EB-456A-BEBE-EF697796FB60}"/>
                    </c:ext>
                  </c:extLst>
                </c:dPt>
                <c:dPt>
                  <c:idx val="63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5D-E1EB-456A-BEBE-EF697796FB60}"/>
                    </c:ext>
                  </c:extLst>
                </c:dPt>
                <c:dPt>
                  <c:idx val="64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5F-E1EB-456A-BEBE-EF697796FB60}"/>
                    </c:ext>
                  </c:extLst>
                </c:dPt>
                <c:dPt>
                  <c:idx val="64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61-E1EB-456A-BEBE-EF697796FB60}"/>
                    </c:ext>
                  </c:extLst>
                </c:dPt>
                <c:dPt>
                  <c:idx val="64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63-E1EB-456A-BEBE-EF697796FB60}"/>
                    </c:ext>
                  </c:extLst>
                </c:dPt>
                <c:dPt>
                  <c:idx val="64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65-E1EB-456A-BEBE-EF697796FB60}"/>
                    </c:ext>
                  </c:extLst>
                </c:dPt>
                <c:dPt>
                  <c:idx val="64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67-E1EB-456A-BEBE-EF697796FB60}"/>
                    </c:ext>
                  </c:extLst>
                </c:dPt>
                <c:dPt>
                  <c:idx val="64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69-E1EB-456A-BEBE-EF697796FB60}"/>
                    </c:ext>
                  </c:extLst>
                </c:dPt>
                <c:dPt>
                  <c:idx val="64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6B-E1EB-456A-BEBE-EF697796FB60}"/>
                    </c:ext>
                  </c:extLst>
                </c:dPt>
                <c:dPt>
                  <c:idx val="64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6D-E1EB-456A-BEBE-EF697796FB60}"/>
                    </c:ext>
                  </c:extLst>
                </c:dPt>
                <c:dPt>
                  <c:idx val="64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6F-E1EB-456A-BEBE-EF697796FB60}"/>
                    </c:ext>
                  </c:extLst>
                </c:dPt>
                <c:dPt>
                  <c:idx val="64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71-E1EB-456A-BEBE-EF697796FB60}"/>
                    </c:ext>
                  </c:extLst>
                </c:dPt>
                <c:dPt>
                  <c:idx val="65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73-E1EB-456A-BEBE-EF697796FB60}"/>
                    </c:ext>
                  </c:extLst>
                </c:dPt>
                <c:dPt>
                  <c:idx val="65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75-E1EB-456A-BEBE-EF697796FB60}"/>
                    </c:ext>
                  </c:extLst>
                </c:dPt>
                <c:dPt>
                  <c:idx val="65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77-E1EB-456A-BEBE-EF697796FB60}"/>
                    </c:ext>
                  </c:extLst>
                </c:dPt>
                <c:dPt>
                  <c:idx val="65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79-E1EB-456A-BEBE-EF697796FB60}"/>
                    </c:ext>
                  </c:extLst>
                </c:dPt>
                <c:dPt>
                  <c:idx val="65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7B-E1EB-456A-BEBE-EF697796FB60}"/>
                    </c:ext>
                  </c:extLst>
                </c:dPt>
                <c:dPt>
                  <c:idx val="65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7D-E1EB-456A-BEBE-EF697796FB60}"/>
                    </c:ext>
                  </c:extLst>
                </c:dPt>
                <c:dPt>
                  <c:idx val="65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7F-E1EB-456A-BEBE-EF697796FB60}"/>
                    </c:ext>
                  </c:extLst>
                </c:dPt>
                <c:dPt>
                  <c:idx val="65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81-E1EB-456A-BEBE-EF697796FB60}"/>
                    </c:ext>
                  </c:extLst>
                </c:dPt>
                <c:dPt>
                  <c:idx val="65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83-E1EB-456A-BEBE-EF697796FB60}"/>
                    </c:ext>
                  </c:extLst>
                </c:dPt>
                <c:dPt>
                  <c:idx val="65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85-E1EB-456A-BEBE-EF697796FB60}"/>
                    </c:ext>
                  </c:extLst>
                </c:dPt>
                <c:dPt>
                  <c:idx val="66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87-E1EB-456A-BEBE-EF697796FB60}"/>
                    </c:ext>
                  </c:extLst>
                </c:dPt>
                <c:dPt>
                  <c:idx val="66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89-E1EB-456A-BEBE-EF697796FB60}"/>
                    </c:ext>
                  </c:extLst>
                </c:dPt>
                <c:dPt>
                  <c:idx val="66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8B-E1EB-456A-BEBE-EF697796FB60}"/>
                    </c:ext>
                  </c:extLst>
                </c:dPt>
                <c:dPt>
                  <c:idx val="66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8D-E1EB-456A-BEBE-EF697796FB60}"/>
                    </c:ext>
                  </c:extLst>
                </c:dPt>
                <c:dPt>
                  <c:idx val="66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8F-E1EB-456A-BEBE-EF697796FB60}"/>
                    </c:ext>
                  </c:extLst>
                </c:dPt>
                <c:dPt>
                  <c:idx val="66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91-E1EB-456A-BEBE-EF697796FB60}"/>
                    </c:ext>
                  </c:extLst>
                </c:dPt>
                <c:dPt>
                  <c:idx val="66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93-E1EB-456A-BEBE-EF697796FB60}"/>
                    </c:ext>
                  </c:extLst>
                </c:dPt>
                <c:dPt>
                  <c:idx val="66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95-E1EB-456A-BEBE-EF697796FB60}"/>
                    </c:ext>
                  </c:extLst>
                </c:dPt>
                <c:dPt>
                  <c:idx val="66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97-E1EB-456A-BEBE-EF697796FB60}"/>
                    </c:ext>
                  </c:extLst>
                </c:dPt>
                <c:dPt>
                  <c:idx val="66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99-E1EB-456A-BEBE-EF697796FB60}"/>
                    </c:ext>
                  </c:extLst>
                </c:dPt>
                <c:dPt>
                  <c:idx val="67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9B-E1EB-456A-BEBE-EF697796FB60}"/>
                    </c:ext>
                  </c:extLst>
                </c:dPt>
                <c:dPt>
                  <c:idx val="67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9D-E1EB-456A-BEBE-EF697796FB60}"/>
                    </c:ext>
                  </c:extLst>
                </c:dPt>
                <c:dPt>
                  <c:idx val="67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9F-E1EB-456A-BEBE-EF697796FB60}"/>
                    </c:ext>
                  </c:extLst>
                </c:dPt>
                <c:dPt>
                  <c:idx val="67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A1-E1EB-456A-BEBE-EF697796FB60}"/>
                    </c:ext>
                  </c:extLst>
                </c:dPt>
                <c:dPt>
                  <c:idx val="67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A3-E1EB-456A-BEBE-EF697796FB60}"/>
                    </c:ext>
                  </c:extLst>
                </c:dPt>
                <c:dPt>
                  <c:idx val="67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A5-E1EB-456A-BEBE-EF697796FB60}"/>
                    </c:ext>
                  </c:extLst>
                </c:dPt>
                <c:dPt>
                  <c:idx val="67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A7-E1EB-456A-BEBE-EF697796FB60}"/>
                    </c:ext>
                  </c:extLst>
                </c:dPt>
                <c:dPt>
                  <c:idx val="67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A9-E1EB-456A-BEBE-EF697796FB60}"/>
                    </c:ext>
                  </c:extLst>
                </c:dPt>
                <c:dPt>
                  <c:idx val="67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AB-E1EB-456A-BEBE-EF697796FB60}"/>
                    </c:ext>
                  </c:extLst>
                </c:dPt>
                <c:dPt>
                  <c:idx val="67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AD-E1EB-456A-BEBE-EF697796FB60}"/>
                    </c:ext>
                  </c:extLst>
                </c:dPt>
                <c:dPt>
                  <c:idx val="68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AF-E1EB-456A-BEBE-EF697796FB60}"/>
                    </c:ext>
                  </c:extLst>
                </c:dPt>
                <c:dPt>
                  <c:idx val="68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B1-E1EB-456A-BEBE-EF697796FB60}"/>
                    </c:ext>
                  </c:extLst>
                </c:dPt>
                <c:dPt>
                  <c:idx val="68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B3-E1EB-456A-BEBE-EF697796FB60}"/>
                    </c:ext>
                  </c:extLst>
                </c:dPt>
                <c:dPt>
                  <c:idx val="68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B5-E1EB-456A-BEBE-EF697796FB60}"/>
                    </c:ext>
                  </c:extLst>
                </c:dPt>
                <c:dPt>
                  <c:idx val="68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B7-E1EB-456A-BEBE-EF697796FB60}"/>
                    </c:ext>
                  </c:extLst>
                </c:dPt>
                <c:dPt>
                  <c:idx val="68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B9-E1EB-456A-BEBE-EF697796FB60}"/>
                    </c:ext>
                  </c:extLst>
                </c:dPt>
                <c:dPt>
                  <c:idx val="68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BB-E1EB-456A-BEBE-EF697796FB60}"/>
                    </c:ext>
                  </c:extLst>
                </c:dPt>
                <c:dPt>
                  <c:idx val="68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BD-E1EB-456A-BEBE-EF697796FB60}"/>
                    </c:ext>
                  </c:extLst>
                </c:dPt>
                <c:dPt>
                  <c:idx val="68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BF-E1EB-456A-BEBE-EF697796FB60}"/>
                    </c:ext>
                  </c:extLst>
                </c:dPt>
                <c:dPt>
                  <c:idx val="68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C1-E1EB-456A-BEBE-EF697796FB60}"/>
                    </c:ext>
                  </c:extLst>
                </c:dPt>
                <c:dPt>
                  <c:idx val="69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C3-E1EB-456A-BEBE-EF697796FB60}"/>
                    </c:ext>
                  </c:extLst>
                </c:dPt>
                <c:dPt>
                  <c:idx val="69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C5-E1EB-456A-BEBE-EF697796FB60}"/>
                    </c:ext>
                  </c:extLst>
                </c:dPt>
                <c:dPt>
                  <c:idx val="69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C7-E1EB-456A-BEBE-EF697796FB60}"/>
                    </c:ext>
                  </c:extLst>
                </c:dPt>
                <c:dPt>
                  <c:idx val="69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C9-E1EB-456A-BEBE-EF697796FB60}"/>
                    </c:ext>
                  </c:extLst>
                </c:dPt>
                <c:dPt>
                  <c:idx val="69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CB-E1EB-456A-BEBE-EF697796FB60}"/>
                    </c:ext>
                  </c:extLst>
                </c:dPt>
                <c:dPt>
                  <c:idx val="69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CD-E1EB-456A-BEBE-EF697796FB60}"/>
                    </c:ext>
                  </c:extLst>
                </c:dPt>
                <c:dPt>
                  <c:idx val="69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CF-E1EB-456A-BEBE-EF697796FB60}"/>
                    </c:ext>
                  </c:extLst>
                </c:dPt>
                <c:dPt>
                  <c:idx val="69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D1-E1EB-456A-BEBE-EF697796FB60}"/>
                    </c:ext>
                  </c:extLst>
                </c:dPt>
                <c:dPt>
                  <c:idx val="69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D3-E1EB-456A-BEBE-EF697796FB60}"/>
                    </c:ext>
                  </c:extLst>
                </c:dPt>
                <c:dPt>
                  <c:idx val="69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D5-E1EB-456A-BEBE-EF697796FB60}"/>
                    </c:ext>
                  </c:extLst>
                </c:dPt>
                <c:dPt>
                  <c:idx val="70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D7-E1EB-456A-BEBE-EF697796FB60}"/>
                    </c:ext>
                  </c:extLst>
                </c:dPt>
                <c:dPt>
                  <c:idx val="70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D9-E1EB-456A-BEBE-EF697796FB60}"/>
                    </c:ext>
                  </c:extLst>
                </c:dPt>
                <c:dPt>
                  <c:idx val="70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DB-E1EB-456A-BEBE-EF697796FB60}"/>
                    </c:ext>
                  </c:extLst>
                </c:dPt>
                <c:dPt>
                  <c:idx val="70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DD-E1EB-456A-BEBE-EF697796FB60}"/>
                    </c:ext>
                  </c:extLst>
                </c:dPt>
                <c:dPt>
                  <c:idx val="70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DF-E1EB-456A-BEBE-EF697796FB60}"/>
                    </c:ext>
                  </c:extLst>
                </c:dPt>
                <c:dPt>
                  <c:idx val="70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E1-E1EB-456A-BEBE-EF697796FB60}"/>
                    </c:ext>
                  </c:extLst>
                </c:dPt>
                <c:dPt>
                  <c:idx val="70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E3-E1EB-456A-BEBE-EF697796FB60}"/>
                    </c:ext>
                  </c:extLst>
                </c:dPt>
                <c:dPt>
                  <c:idx val="70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E5-E1EB-456A-BEBE-EF697796FB60}"/>
                    </c:ext>
                  </c:extLst>
                </c:dPt>
                <c:dPt>
                  <c:idx val="70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E7-E1EB-456A-BEBE-EF697796FB60}"/>
                    </c:ext>
                  </c:extLst>
                </c:dPt>
                <c:dPt>
                  <c:idx val="70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E9-E1EB-456A-BEBE-EF697796FB60}"/>
                    </c:ext>
                  </c:extLst>
                </c:dPt>
                <c:dPt>
                  <c:idx val="71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EB-E1EB-456A-BEBE-EF697796FB60}"/>
                    </c:ext>
                  </c:extLst>
                </c:dPt>
                <c:dPt>
                  <c:idx val="71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ED-E1EB-456A-BEBE-EF697796FB60}"/>
                    </c:ext>
                  </c:extLst>
                </c:dPt>
                <c:dPt>
                  <c:idx val="71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EF-E1EB-456A-BEBE-EF697796FB60}"/>
                    </c:ext>
                  </c:extLst>
                </c:dPt>
                <c:dPt>
                  <c:idx val="71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F1-E1EB-456A-BEBE-EF697796FB60}"/>
                    </c:ext>
                  </c:extLst>
                </c:dPt>
                <c:dPt>
                  <c:idx val="71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F3-E1EB-456A-BEBE-EF697796FB60}"/>
                    </c:ext>
                  </c:extLst>
                </c:dPt>
                <c:dPt>
                  <c:idx val="71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F5-E1EB-456A-BEBE-EF697796FB60}"/>
                    </c:ext>
                  </c:extLst>
                </c:dPt>
                <c:dPt>
                  <c:idx val="71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F7-E1EB-456A-BEBE-EF697796FB60}"/>
                    </c:ext>
                  </c:extLst>
                </c:dPt>
                <c:dPt>
                  <c:idx val="71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F9-E1EB-456A-BEBE-EF697796FB60}"/>
                    </c:ext>
                  </c:extLst>
                </c:dPt>
                <c:dPt>
                  <c:idx val="71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FB-E1EB-456A-BEBE-EF697796FB60}"/>
                    </c:ext>
                  </c:extLst>
                </c:dPt>
                <c:dPt>
                  <c:idx val="71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FD-E1EB-456A-BEBE-EF697796FB60}"/>
                    </c:ext>
                  </c:extLst>
                </c:dPt>
                <c:dPt>
                  <c:idx val="72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FF-E1EB-456A-BEBE-EF697796FB60}"/>
                    </c:ext>
                  </c:extLst>
                </c:dPt>
                <c:dPt>
                  <c:idx val="72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01-E1EB-456A-BEBE-EF697796FB60}"/>
                    </c:ext>
                  </c:extLst>
                </c:dPt>
                <c:dPt>
                  <c:idx val="72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03-E1EB-456A-BEBE-EF697796FB60}"/>
                    </c:ext>
                  </c:extLst>
                </c:dPt>
                <c:dPt>
                  <c:idx val="72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05-E1EB-456A-BEBE-EF697796FB60}"/>
                    </c:ext>
                  </c:extLst>
                </c:dPt>
                <c:dPt>
                  <c:idx val="72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07-E1EB-456A-BEBE-EF697796FB60}"/>
                    </c:ext>
                  </c:extLst>
                </c:dPt>
                <c:dPt>
                  <c:idx val="72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09-E1EB-456A-BEBE-EF697796FB60}"/>
                    </c:ext>
                  </c:extLst>
                </c:dPt>
                <c:dPt>
                  <c:idx val="72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0B-E1EB-456A-BEBE-EF697796FB60}"/>
                    </c:ext>
                  </c:extLst>
                </c:dPt>
                <c:dPt>
                  <c:idx val="72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0D-E1EB-456A-BEBE-EF697796FB60}"/>
                    </c:ext>
                  </c:extLst>
                </c:dPt>
                <c:dPt>
                  <c:idx val="72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0F-E1EB-456A-BEBE-EF697796FB60}"/>
                    </c:ext>
                  </c:extLst>
                </c:dPt>
                <c:dPt>
                  <c:idx val="72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11-E1EB-456A-BEBE-EF697796FB60}"/>
                    </c:ext>
                  </c:extLst>
                </c:dPt>
                <c:dPt>
                  <c:idx val="73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13-E1EB-456A-BEBE-EF697796FB60}"/>
                    </c:ext>
                  </c:extLst>
                </c:dPt>
                <c:dPt>
                  <c:idx val="73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15-E1EB-456A-BEBE-EF697796FB60}"/>
                    </c:ext>
                  </c:extLst>
                </c:dPt>
                <c:dPt>
                  <c:idx val="73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17-E1EB-456A-BEBE-EF697796FB60}"/>
                    </c:ext>
                  </c:extLst>
                </c:dPt>
                <c:dPt>
                  <c:idx val="73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19-E1EB-456A-BEBE-EF697796FB60}"/>
                    </c:ext>
                  </c:extLst>
                </c:dPt>
                <c:dPt>
                  <c:idx val="73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1B-E1EB-456A-BEBE-EF697796FB60}"/>
                    </c:ext>
                  </c:extLst>
                </c:dPt>
                <c:dPt>
                  <c:idx val="73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1D-E1EB-456A-BEBE-EF697796FB60}"/>
                    </c:ext>
                  </c:extLst>
                </c:dPt>
                <c:dPt>
                  <c:idx val="73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1F-E1EB-456A-BEBE-EF697796FB60}"/>
                    </c:ext>
                  </c:extLst>
                </c:dPt>
                <c:dPt>
                  <c:idx val="73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21-E1EB-456A-BEBE-EF697796FB60}"/>
                    </c:ext>
                  </c:extLst>
                </c:dPt>
                <c:dPt>
                  <c:idx val="73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23-E1EB-456A-BEBE-EF697796FB60}"/>
                    </c:ext>
                  </c:extLst>
                </c:dPt>
                <c:dPt>
                  <c:idx val="73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25-E1EB-456A-BEBE-EF697796FB60}"/>
                    </c:ext>
                  </c:extLst>
                </c:dPt>
                <c:dPt>
                  <c:idx val="74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27-E1EB-456A-BEBE-EF697796FB60}"/>
                    </c:ext>
                  </c:extLst>
                </c:dPt>
                <c:dPt>
                  <c:idx val="74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29-E1EB-456A-BEBE-EF697796FB60}"/>
                    </c:ext>
                  </c:extLst>
                </c:dPt>
                <c:dPt>
                  <c:idx val="74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2B-E1EB-456A-BEBE-EF697796FB60}"/>
                    </c:ext>
                  </c:extLst>
                </c:dPt>
                <c:dPt>
                  <c:idx val="74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2D-E1EB-456A-BEBE-EF697796FB60}"/>
                    </c:ext>
                  </c:extLst>
                </c:dPt>
                <c:dPt>
                  <c:idx val="74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2F-E1EB-456A-BEBE-EF697796FB60}"/>
                    </c:ext>
                  </c:extLst>
                </c:dPt>
                <c:dPt>
                  <c:idx val="74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31-E1EB-456A-BEBE-EF697796FB60}"/>
                    </c:ext>
                  </c:extLst>
                </c:dPt>
                <c:dPt>
                  <c:idx val="74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33-E1EB-456A-BEBE-EF697796FB60}"/>
                    </c:ext>
                  </c:extLst>
                </c:dPt>
                <c:dPt>
                  <c:idx val="74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35-E1EB-456A-BEBE-EF697796FB60}"/>
                    </c:ext>
                  </c:extLst>
                </c:dPt>
                <c:dPt>
                  <c:idx val="74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37-E1EB-456A-BEBE-EF697796FB60}"/>
                    </c:ext>
                  </c:extLst>
                </c:dPt>
                <c:dPt>
                  <c:idx val="74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39-E1EB-456A-BEBE-EF697796FB60}"/>
                    </c:ext>
                  </c:extLst>
                </c:dPt>
                <c:dPt>
                  <c:idx val="75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3B-E1EB-456A-BEBE-EF697796FB60}"/>
                    </c:ext>
                  </c:extLst>
                </c:dPt>
                <c:dPt>
                  <c:idx val="75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3D-E1EB-456A-BEBE-EF697796FB60}"/>
                    </c:ext>
                  </c:extLst>
                </c:dPt>
                <c:dPt>
                  <c:idx val="75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3F-E1EB-456A-BEBE-EF697796FB60}"/>
                    </c:ext>
                  </c:extLst>
                </c:dPt>
                <c:dPt>
                  <c:idx val="75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41-E1EB-456A-BEBE-EF697796FB60}"/>
                    </c:ext>
                  </c:extLst>
                </c:dPt>
                <c:dPt>
                  <c:idx val="75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43-E1EB-456A-BEBE-EF697796FB60}"/>
                    </c:ext>
                  </c:extLst>
                </c:dPt>
                <c:dPt>
                  <c:idx val="75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45-E1EB-456A-BEBE-EF697796FB60}"/>
                    </c:ext>
                  </c:extLst>
                </c:dPt>
                <c:dPt>
                  <c:idx val="75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47-E1EB-456A-BEBE-EF697796FB60}"/>
                    </c:ext>
                  </c:extLst>
                </c:dPt>
                <c:dPt>
                  <c:idx val="75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49-E1EB-456A-BEBE-EF697796FB60}"/>
                    </c:ext>
                  </c:extLst>
                </c:dPt>
                <c:dPt>
                  <c:idx val="75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4B-E1EB-456A-BEBE-EF697796FB60}"/>
                    </c:ext>
                  </c:extLst>
                </c:dPt>
                <c:dPt>
                  <c:idx val="75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4D-E1EB-456A-BEBE-EF697796FB60}"/>
                    </c:ext>
                  </c:extLst>
                </c:dPt>
                <c:dPt>
                  <c:idx val="76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4F-E1EB-456A-BEBE-EF697796FB60}"/>
                    </c:ext>
                  </c:extLst>
                </c:dPt>
                <c:dPt>
                  <c:idx val="76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51-E1EB-456A-BEBE-EF697796FB60}"/>
                    </c:ext>
                  </c:extLst>
                </c:dPt>
                <c:dPt>
                  <c:idx val="76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53-E1EB-456A-BEBE-EF697796FB60}"/>
                    </c:ext>
                  </c:extLst>
                </c:dPt>
                <c:dPt>
                  <c:idx val="76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55-E1EB-456A-BEBE-EF697796FB60}"/>
                    </c:ext>
                  </c:extLst>
                </c:dPt>
                <c:dPt>
                  <c:idx val="76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57-E1EB-456A-BEBE-EF697796FB60}"/>
                    </c:ext>
                  </c:extLst>
                </c:dPt>
                <c:dPt>
                  <c:idx val="76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59-E1EB-456A-BEBE-EF697796FB60}"/>
                    </c:ext>
                  </c:extLst>
                </c:dPt>
                <c:dPt>
                  <c:idx val="76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5B-E1EB-456A-BEBE-EF697796FB60}"/>
                    </c:ext>
                  </c:extLst>
                </c:dPt>
                <c:dPt>
                  <c:idx val="76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5D-E1EB-456A-BEBE-EF697796FB60}"/>
                    </c:ext>
                  </c:extLst>
                </c:dPt>
                <c:dPt>
                  <c:idx val="76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5F-E1EB-456A-BEBE-EF697796FB60}"/>
                    </c:ext>
                  </c:extLst>
                </c:dPt>
                <c:dPt>
                  <c:idx val="76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61-E1EB-456A-BEBE-EF697796FB60}"/>
                    </c:ext>
                  </c:extLst>
                </c:dPt>
                <c:dPt>
                  <c:idx val="77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63-E1EB-456A-BEBE-EF697796FB60}"/>
                    </c:ext>
                  </c:extLst>
                </c:dPt>
                <c:dPt>
                  <c:idx val="77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65-E1EB-456A-BEBE-EF697796FB60}"/>
                    </c:ext>
                  </c:extLst>
                </c:dPt>
                <c:dPt>
                  <c:idx val="77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67-E1EB-456A-BEBE-EF697796FB60}"/>
                    </c:ext>
                  </c:extLst>
                </c:dPt>
                <c:dPt>
                  <c:idx val="77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69-E1EB-456A-BEBE-EF697796FB60}"/>
                    </c:ext>
                  </c:extLst>
                </c:dPt>
                <c:dPt>
                  <c:idx val="77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6B-E1EB-456A-BEBE-EF697796FB60}"/>
                    </c:ext>
                  </c:extLst>
                </c:dPt>
                <c:dPt>
                  <c:idx val="77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6D-E1EB-456A-BEBE-EF697796FB60}"/>
                    </c:ext>
                  </c:extLst>
                </c:dPt>
                <c:dPt>
                  <c:idx val="77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6F-E1EB-456A-BEBE-EF697796FB60}"/>
                    </c:ext>
                  </c:extLst>
                </c:dPt>
                <c:dPt>
                  <c:idx val="77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71-E1EB-456A-BEBE-EF697796FB60}"/>
                    </c:ext>
                  </c:extLst>
                </c:dPt>
                <c:dPt>
                  <c:idx val="77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73-E1EB-456A-BEBE-EF697796FB60}"/>
                    </c:ext>
                  </c:extLst>
                </c:dPt>
                <c:dPt>
                  <c:idx val="77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75-E1EB-456A-BEBE-EF697796FB60}"/>
                    </c:ext>
                  </c:extLst>
                </c:dPt>
                <c:dPt>
                  <c:idx val="78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77-E1EB-456A-BEBE-EF697796FB60}"/>
                    </c:ext>
                  </c:extLst>
                </c:dPt>
                <c:dPt>
                  <c:idx val="78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79-E1EB-456A-BEBE-EF697796FB60}"/>
                    </c:ext>
                  </c:extLst>
                </c:dPt>
                <c:dPt>
                  <c:idx val="78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7B-E1EB-456A-BEBE-EF697796FB60}"/>
                    </c:ext>
                  </c:extLst>
                </c:dPt>
                <c:dPt>
                  <c:idx val="78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7D-E1EB-456A-BEBE-EF697796FB60}"/>
                    </c:ext>
                  </c:extLst>
                </c:dPt>
                <c:dPt>
                  <c:idx val="78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7F-E1EB-456A-BEBE-EF697796FB60}"/>
                    </c:ext>
                  </c:extLst>
                </c:dPt>
                <c:dPt>
                  <c:idx val="78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81-E1EB-456A-BEBE-EF697796FB60}"/>
                    </c:ext>
                  </c:extLst>
                </c:dPt>
                <c:dPt>
                  <c:idx val="78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83-E1EB-456A-BEBE-EF697796FB60}"/>
                    </c:ext>
                  </c:extLst>
                </c:dPt>
                <c:dPt>
                  <c:idx val="78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85-E1EB-456A-BEBE-EF697796FB60}"/>
                    </c:ext>
                  </c:extLst>
                </c:dPt>
                <c:dPt>
                  <c:idx val="78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87-E1EB-456A-BEBE-EF697796FB60}"/>
                    </c:ext>
                  </c:extLst>
                </c:dPt>
                <c:dPt>
                  <c:idx val="78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89-E1EB-456A-BEBE-EF697796FB60}"/>
                    </c:ext>
                  </c:extLst>
                </c:dPt>
                <c:dPt>
                  <c:idx val="79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8B-E1EB-456A-BEBE-EF697796FB60}"/>
                    </c:ext>
                  </c:extLst>
                </c:dPt>
                <c:dPt>
                  <c:idx val="79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8D-E1EB-456A-BEBE-EF697796FB60}"/>
                    </c:ext>
                  </c:extLst>
                </c:dPt>
                <c:dPt>
                  <c:idx val="79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8F-E1EB-456A-BEBE-EF697796FB60}"/>
                    </c:ext>
                  </c:extLst>
                </c:dPt>
                <c:dPt>
                  <c:idx val="79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91-E1EB-456A-BEBE-EF697796FB60}"/>
                    </c:ext>
                  </c:extLst>
                </c:dPt>
                <c:dPt>
                  <c:idx val="79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93-E1EB-456A-BEBE-EF697796FB60}"/>
                    </c:ext>
                  </c:extLst>
                </c:dPt>
                <c:dPt>
                  <c:idx val="79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95-E1EB-456A-BEBE-EF697796FB60}"/>
                    </c:ext>
                  </c:extLst>
                </c:dPt>
                <c:dPt>
                  <c:idx val="79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97-E1EB-456A-BEBE-EF697796FB60}"/>
                    </c:ext>
                  </c:extLst>
                </c:dPt>
                <c:dPt>
                  <c:idx val="79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99-E1EB-456A-BEBE-EF697796FB60}"/>
                    </c:ext>
                  </c:extLst>
                </c:dPt>
                <c:dPt>
                  <c:idx val="79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9B-E1EB-456A-BEBE-EF697796FB60}"/>
                    </c:ext>
                  </c:extLst>
                </c:dPt>
                <c:dPt>
                  <c:idx val="79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9D-E1EB-456A-BEBE-EF697796FB60}"/>
                    </c:ext>
                  </c:extLst>
                </c:dPt>
                <c:dPt>
                  <c:idx val="80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9F-E1EB-456A-BEBE-EF697796FB60}"/>
                    </c:ext>
                  </c:extLst>
                </c:dPt>
                <c:dPt>
                  <c:idx val="80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A1-E1EB-456A-BEBE-EF697796FB60}"/>
                    </c:ext>
                  </c:extLst>
                </c:dPt>
                <c:dPt>
                  <c:idx val="80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A3-E1EB-456A-BEBE-EF697796FB60}"/>
                    </c:ext>
                  </c:extLst>
                </c:dPt>
                <c:dPt>
                  <c:idx val="80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A5-E1EB-456A-BEBE-EF697796FB60}"/>
                    </c:ext>
                  </c:extLst>
                </c:dPt>
                <c:dPt>
                  <c:idx val="80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A7-E1EB-456A-BEBE-EF697796FB60}"/>
                    </c:ext>
                  </c:extLst>
                </c:dPt>
                <c:dPt>
                  <c:idx val="80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A9-E1EB-456A-BEBE-EF697796FB60}"/>
                    </c:ext>
                  </c:extLst>
                </c:dPt>
                <c:dPt>
                  <c:idx val="80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AB-E1EB-456A-BEBE-EF697796FB60}"/>
                    </c:ext>
                  </c:extLst>
                </c:dPt>
                <c:dPt>
                  <c:idx val="80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AD-E1EB-456A-BEBE-EF697796FB60}"/>
                    </c:ext>
                  </c:extLst>
                </c:dPt>
                <c:dPt>
                  <c:idx val="80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AF-E1EB-456A-BEBE-EF697796FB60}"/>
                    </c:ext>
                  </c:extLst>
                </c:dPt>
                <c:dPt>
                  <c:idx val="80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B1-E1EB-456A-BEBE-EF697796FB60}"/>
                    </c:ext>
                  </c:extLst>
                </c:dPt>
                <c:dPt>
                  <c:idx val="81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B3-E1EB-456A-BEBE-EF697796FB60}"/>
                    </c:ext>
                  </c:extLst>
                </c:dPt>
                <c:dPt>
                  <c:idx val="81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B5-E1EB-456A-BEBE-EF697796FB60}"/>
                    </c:ext>
                  </c:extLst>
                </c:dPt>
                <c:dPt>
                  <c:idx val="81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B7-E1EB-456A-BEBE-EF697796FB60}"/>
                    </c:ext>
                  </c:extLst>
                </c:dPt>
                <c:dPt>
                  <c:idx val="81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B9-E1EB-456A-BEBE-EF697796FB60}"/>
                    </c:ext>
                  </c:extLst>
                </c:dPt>
                <c:dPt>
                  <c:idx val="81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BB-E1EB-456A-BEBE-EF697796FB60}"/>
                    </c:ext>
                  </c:extLst>
                </c:dPt>
                <c:dPt>
                  <c:idx val="81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BD-E1EB-456A-BEBE-EF697796FB60}"/>
                    </c:ext>
                  </c:extLst>
                </c:dPt>
                <c:dPt>
                  <c:idx val="81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BF-E1EB-456A-BEBE-EF697796FB60}"/>
                    </c:ext>
                  </c:extLst>
                </c:dPt>
                <c:dPt>
                  <c:idx val="81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C1-E1EB-456A-BEBE-EF697796FB60}"/>
                    </c:ext>
                  </c:extLst>
                </c:dPt>
                <c:dPt>
                  <c:idx val="81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C3-E1EB-456A-BEBE-EF697796FB60}"/>
                    </c:ext>
                  </c:extLst>
                </c:dPt>
                <c:dPt>
                  <c:idx val="81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C5-E1EB-456A-BEBE-EF697796FB60}"/>
                    </c:ext>
                  </c:extLst>
                </c:dPt>
                <c:dPt>
                  <c:idx val="82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C7-E1EB-456A-BEBE-EF697796FB60}"/>
                    </c:ext>
                  </c:extLst>
                </c:dPt>
                <c:dPt>
                  <c:idx val="82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C9-E1EB-456A-BEBE-EF697796FB60}"/>
                    </c:ext>
                  </c:extLst>
                </c:dPt>
                <c:dPt>
                  <c:idx val="82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CB-E1EB-456A-BEBE-EF697796FB60}"/>
                    </c:ext>
                  </c:extLst>
                </c:dPt>
                <c:dPt>
                  <c:idx val="82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CD-E1EB-456A-BEBE-EF697796FB60}"/>
                    </c:ext>
                  </c:extLst>
                </c:dPt>
                <c:dPt>
                  <c:idx val="82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CF-E1EB-456A-BEBE-EF697796FB60}"/>
                    </c:ext>
                  </c:extLst>
                </c:dPt>
                <c:dPt>
                  <c:idx val="82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D1-E1EB-456A-BEBE-EF697796FB60}"/>
                    </c:ext>
                  </c:extLst>
                </c:dPt>
                <c:dPt>
                  <c:idx val="82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D3-E1EB-456A-BEBE-EF697796FB60}"/>
                    </c:ext>
                  </c:extLst>
                </c:dPt>
                <c:dPt>
                  <c:idx val="82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D5-E1EB-456A-BEBE-EF697796FB60}"/>
                    </c:ext>
                  </c:extLst>
                </c:dPt>
                <c:dPt>
                  <c:idx val="82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D7-E1EB-456A-BEBE-EF697796FB60}"/>
                    </c:ext>
                  </c:extLst>
                </c:dPt>
                <c:dPt>
                  <c:idx val="82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D9-E1EB-456A-BEBE-EF697796FB60}"/>
                    </c:ext>
                  </c:extLst>
                </c:dPt>
                <c:dPt>
                  <c:idx val="83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DB-E1EB-456A-BEBE-EF697796FB60}"/>
                    </c:ext>
                  </c:extLst>
                </c:dPt>
                <c:dPt>
                  <c:idx val="83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DD-E1EB-456A-BEBE-EF697796FB60}"/>
                    </c:ext>
                  </c:extLst>
                </c:dPt>
                <c:dPt>
                  <c:idx val="83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DF-E1EB-456A-BEBE-EF697796FB60}"/>
                    </c:ext>
                  </c:extLst>
                </c:dPt>
                <c:dPt>
                  <c:idx val="83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E1-E1EB-456A-BEBE-EF697796FB60}"/>
                    </c:ext>
                  </c:extLst>
                </c:dPt>
                <c:dPt>
                  <c:idx val="83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E3-E1EB-456A-BEBE-EF697796FB60}"/>
                    </c:ext>
                  </c:extLst>
                </c:dPt>
                <c:dPt>
                  <c:idx val="83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E5-E1EB-456A-BEBE-EF697796FB60}"/>
                    </c:ext>
                  </c:extLst>
                </c:dPt>
                <c:dPt>
                  <c:idx val="83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E7-E1EB-456A-BEBE-EF697796FB60}"/>
                    </c:ext>
                  </c:extLst>
                </c:dPt>
                <c:dPt>
                  <c:idx val="83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E9-E1EB-456A-BEBE-EF697796FB60}"/>
                    </c:ext>
                  </c:extLst>
                </c:dPt>
                <c:dPt>
                  <c:idx val="83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EB-E1EB-456A-BEBE-EF697796FB60}"/>
                    </c:ext>
                  </c:extLst>
                </c:dPt>
                <c:dPt>
                  <c:idx val="83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ED-E1EB-456A-BEBE-EF697796FB60}"/>
                    </c:ext>
                  </c:extLst>
                </c:dPt>
                <c:dPt>
                  <c:idx val="84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EF-E1EB-456A-BEBE-EF697796FB60}"/>
                    </c:ext>
                  </c:extLst>
                </c:dPt>
                <c:dPt>
                  <c:idx val="84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F1-E1EB-456A-BEBE-EF697796FB60}"/>
                    </c:ext>
                  </c:extLst>
                </c:dPt>
                <c:dPt>
                  <c:idx val="84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F3-E1EB-456A-BEBE-EF697796FB60}"/>
                    </c:ext>
                  </c:extLst>
                </c:dPt>
                <c:dPt>
                  <c:idx val="84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F5-E1EB-456A-BEBE-EF697796FB60}"/>
                    </c:ext>
                  </c:extLst>
                </c:dPt>
                <c:dPt>
                  <c:idx val="84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F7-E1EB-456A-BEBE-EF697796FB60}"/>
                    </c:ext>
                  </c:extLst>
                </c:dPt>
                <c:dPt>
                  <c:idx val="84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F9-E1EB-456A-BEBE-EF697796FB60}"/>
                    </c:ext>
                  </c:extLst>
                </c:dPt>
                <c:dPt>
                  <c:idx val="84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FB-E1EB-456A-BEBE-EF697796FB60}"/>
                    </c:ext>
                  </c:extLst>
                </c:dPt>
                <c:dPt>
                  <c:idx val="84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FD-E1EB-456A-BEBE-EF697796FB60}"/>
                    </c:ext>
                  </c:extLst>
                </c:dPt>
                <c:dPt>
                  <c:idx val="84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FF-E1EB-456A-BEBE-EF697796FB60}"/>
                    </c:ext>
                  </c:extLst>
                </c:dPt>
                <c:dPt>
                  <c:idx val="84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01-E1EB-456A-BEBE-EF697796FB60}"/>
                    </c:ext>
                  </c:extLst>
                </c:dPt>
                <c:dPt>
                  <c:idx val="85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03-E1EB-456A-BEBE-EF697796FB60}"/>
                    </c:ext>
                  </c:extLst>
                </c:dPt>
                <c:dPt>
                  <c:idx val="85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05-E1EB-456A-BEBE-EF697796FB60}"/>
                    </c:ext>
                  </c:extLst>
                </c:dPt>
                <c:dPt>
                  <c:idx val="85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07-E1EB-456A-BEBE-EF697796FB60}"/>
                    </c:ext>
                  </c:extLst>
                </c:dPt>
                <c:dPt>
                  <c:idx val="85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09-E1EB-456A-BEBE-EF697796FB60}"/>
                    </c:ext>
                  </c:extLst>
                </c:dPt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 cap="flat" cmpd="sng" algn="ctr">
                        <a:solidFill>
                          <a:schemeClr val="tx1">
                            <a:lumMod val="35000"/>
                            <a:lumOff val="65000"/>
                          </a:schemeClr>
                        </a:solidFill>
                        <a:round/>
                      </a:ln>
                      <a:effectLst/>
                    </c:spPr>
                  </c:leaderLines>
                  <c:extLst xmlns:c15="http://schemas.microsoft.com/office/drawing/2012/chart">
                    <c:ext xmlns:c15="http://schemas.microsoft.com/office/drawing/2012/chart" uri="{CE6537A1-D6FC-4f65-9D91-7224C49458BB}"/>
                  </c:extLst>
                </c:dLbls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('Données '!$C$199,'Données '!$E$199,'Données '!$G$199,'Données '!$I$199,'Données '!$K$199,'Données '!$M$199,'Données '!$O$199)</c15:sqref>
                        </c15:formulaRef>
                      </c:ext>
                    </c:extLst>
                    <c:strCache>
                      <c:ptCount val="7"/>
                      <c:pt idx="0">
                        <c:v>ESQ ==&gt; APD</c:v>
                      </c:pt>
                      <c:pt idx="1">
                        <c:v>Fin études/AO</c:v>
                      </c:pt>
                      <c:pt idx="2">
                        <c:v>OS</c:v>
                      </c:pt>
                      <c:pt idx="3">
                        <c:v>Travaux</c:v>
                      </c:pt>
                      <c:pt idx="4">
                        <c:v>GPA</c:v>
                      </c:pt>
                      <c:pt idx="5">
                        <c:v>Clôture défisc</c:v>
                      </c:pt>
                      <c:pt idx="6">
                        <c:v>STOP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('Données '!$C$202,'Données '!$E$202,'Données '!$G$202,'Données '!$I$202,'Données '!$K$202,'Données '!$M$202,'Données '!$O$202)</c15:sqref>
                        </c15:formulaRef>
                      </c:ext>
                    </c:extLst>
                    <c:numCache>
                      <c:formatCode>General</c:formatCode>
                      <c:ptCount val="7"/>
                      <c:pt idx="0">
                        <c:v>2</c:v>
                      </c:pt>
                      <c:pt idx="1">
                        <c:v>2</c:v>
                      </c:pt>
                      <c:pt idx="2">
                        <c:v>0</c:v>
                      </c:pt>
                      <c:pt idx="3">
                        <c:v>1</c:v>
                      </c:pt>
                      <c:pt idx="4">
                        <c:v>1</c:v>
                      </c:pt>
                      <c:pt idx="5">
                        <c:v>0</c:v>
                      </c:pt>
                      <c:pt idx="6">
                        <c:v>0</c:v>
                      </c:pt>
                    </c:numCache>
                  </c:numRef>
                </c:val>
                <c:extLst xmlns:c15="http://schemas.microsoft.com/office/drawing/2012/chart">
                  <c:ext xmlns:c16="http://schemas.microsoft.com/office/drawing/2014/chart" uri="{C3380CC4-5D6E-409C-BE32-E72D297353CC}">
                    <c16:uniqueId val="{0000050B-DB9F-452A-82DA-49E825A71C5F}"/>
                  </c:ext>
                </c:extLst>
              </c15:ser>
            </c15:filteredPieSeries>
            <c15:filteredPieSeries>
              <c15:ser>
                <c:idx val="3"/>
                <c:order val="3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'Données '!$B$203</c15:sqref>
                        </c15:formulaRef>
                      </c:ext>
                    </c:extLst>
                    <c:strCache>
                      <c:ptCount val="1"/>
                      <c:pt idx="0">
                        <c:v>DAM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663-1115-4863-B690-D60CB1C70F91}"/>
                    </c:ext>
                  </c:extLst>
                </c:dPt>
                <c:dPt>
                  <c:idx val="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3F-DAB6-45DA-91D4-882BD746BCFB}"/>
                    </c:ext>
                  </c:extLst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BD-5EDB-4BE8-B6CB-617A718FFB97}"/>
                    </c:ext>
                  </c:extLst>
                </c:dPt>
                <c:dPt>
                  <c:idx val="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8B-DAF1-41D9-9DB1-A178C939277F}"/>
                    </c:ext>
                  </c:extLst>
                </c:dPt>
                <c:dPt>
                  <c:idx val="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C1-5EDB-4BE8-B6CB-617A718FFB97}"/>
                    </c:ext>
                  </c:extLst>
                </c:dPt>
                <c:dPt>
                  <c:idx val="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59-1D13-485A-BA6F-2734FB277198}"/>
                    </c:ext>
                  </c:extLst>
                </c:dPt>
                <c:dPt>
                  <c:idx val="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C5-5EDB-4BE8-B6CB-617A718FFB97}"/>
                    </c:ext>
                  </c:extLst>
                </c:dPt>
                <c:dPt>
                  <c:idx val="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8F-DAF1-41D9-9DB1-A178C939277F}"/>
                    </c:ext>
                  </c:extLst>
                </c:dPt>
                <c:dPt>
                  <c:idx val="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C9-5EDB-4BE8-B6CB-617A718FFB97}"/>
                    </c:ext>
                  </c:extLst>
                </c:dPt>
                <c:dPt>
                  <c:idx val="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EB-04ED-4AA9-BC50-D66038FCB951}"/>
                    </c:ext>
                  </c:extLst>
                </c:dPt>
                <c:dPt>
                  <c:idx val="1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CD-5EDB-4BE8-B6CB-617A718FFB97}"/>
                    </c:ext>
                  </c:extLst>
                </c:dPt>
                <c:dPt>
                  <c:idx val="1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93-DAF1-41D9-9DB1-A178C939277F}"/>
                    </c:ext>
                  </c:extLst>
                </c:dPt>
                <c:dPt>
                  <c:idx val="1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5D-1D13-485A-BA6F-2734FB277198}"/>
                    </c:ext>
                  </c:extLst>
                </c:dPt>
                <c:dPt>
                  <c:idx val="1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97-DAF1-41D9-9DB1-A178C939277F}"/>
                    </c:ext>
                  </c:extLst>
                </c:dPt>
                <c:dPt>
                  <c:idx val="1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41-DAB6-45DA-91D4-882BD746BCFB}"/>
                    </c:ext>
                  </c:extLst>
                </c:dPt>
                <c:dPt>
                  <c:idx val="1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9B-DAF1-41D9-9DB1-A178C939277F}"/>
                    </c:ext>
                  </c:extLst>
                </c:dPt>
                <c:dPt>
                  <c:idx val="1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61-1D13-485A-BA6F-2734FB277198}"/>
                    </c:ext>
                  </c:extLst>
                </c:dPt>
                <c:dPt>
                  <c:idx val="1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EF-04ED-4AA9-BC50-D66038FCB951}"/>
                    </c:ext>
                  </c:extLst>
                </c:dPt>
                <c:dPt>
                  <c:idx val="1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65-1D13-485A-BA6F-2734FB277198}"/>
                    </c:ext>
                  </c:extLst>
                </c:dPt>
                <c:dPt>
                  <c:idx val="1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2D-60BE-40C2-8D55-6632F2E349D0}"/>
                    </c:ext>
                  </c:extLst>
                </c:dPt>
                <c:dPt>
                  <c:idx val="2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69-1D13-485A-BA6F-2734FB277198}"/>
                    </c:ext>
                  </c:extLst>
                </c:dPt>
                <c:dPt>
                  <c:idx val="2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19-5544-4033-80F0-E894437B4A40}"/>
                    </c:ext>
                  </c:extLst>
                </c:dPt>
                <c:dPt>
                  <c:idx val="2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31-60BE-40C2-8D55-6632F2E349D0}"/>
                    </c:ext>
                  </c:extLst>
                </c:dPt>
                <c:dPt>
                  <c:idx val="2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05-A86C-40C3-A162-230FDBCEA487}"/>
                    </c:ext>
                  </c:extLst>
                </c:dPt>
                <c:dPt>
                  <c:idx val="2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1D-5544-4033-80F0-E894437B4A40}"/>
                    </c:ext>
                  </c:extLst>
                </c:dPt>
                <c:dPt>
                  <c:idx val="2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6B-B056-42B7-88DE-80749CFCCB2D}"/>
                    </c:ext>
                  </c:extLst>
                </c:dPt>
                <c:dPt>
                  <c:idx val="2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09-A86C-40C3-A162-230FDBCEA487}"/>
                    </c:ext>
                  </c:extLst>
                </c:dPt>
                <c:dPt>
                  <c:idx val="2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F3-04ED-4AA9-BC50-D66038FCB951}"/>
                    </c:ext>
                  </c:extLst>
                </c:dPt>
                <c:dPt>
                  <c:idx val="2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43-DAB6-45DA-91D4-882BD746BCFB}"/>
                    </c:ext>
                  </c:extLst>
                </c:dPt>
                <c:dPt>
                  <c:idx val="2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F7-04ED-4AA9-BC50-D66038FCB951}"/>
                    </c:ext>
                  </c:extLst>
                </c:dPt>
                <c:dPt>
                  <c:idx val="3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BF-A820-4364-A7E1-C676310E0661}"/>
                    </c:ext>
                  </c:extLst>
                </c:dPt>
                <c:dPt>
                  <c:idx val="3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FB-04ED-4AA9-BC50-D66038FCB951}"/>
                    </c:ext>
                  </c:extLst>
                </c:dPt>
                <c:dPt>
                  <c:idx val="3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AB-347F-48E4-BBCB-0EE59E974D1D}"/>
                    </c:ext>
                  </c:extLst>
                </c:dPt>
                <c:dPt>
                  <c:idx val="3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C3-A820-4364-A7E1-C676310E0661}"/>
                    </c:ext>
                  </c:extLst>
                </c:dPt>
                <c:dPt>
                  <c:idx val="3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97-CA5B-4529-960D-90148F46BA02}"/>
                    </c:ext>
                  </c:extLst>
                </c:dPt>
                <c:dPt>
                  <c:idx val="3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AF-347F-48E4-BBCB-0EE59E974D1D}"/>
                    </c:ext>
                  </c:extLst>
                </c:dPt>
                <c:dPt>
                  <c:idx val="3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83-22F6-405D-A58F-94551EB1A83D}"/>
                    </c:ext>
                  </c:extLst>
                </c:dPt>
                <c:dPt>
                  <c:idx val="3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9B-CA5B-4529-960D-90148F46BA02}"/>
                    </c:ext>
                  </c:extLst>
                </c:dPt>
                <c:dPt>
                  <c:idx val="3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6F-B056-42B7-88DE-80749CFCCB2D}"/>
                    </c:ext>
                  </c:extLst>
                </c:dPt>
                <c:dPt>
                  <c:idx val="3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87-22F6-405D-A58F-94551EB1A83D}"/>
                    </c:ext>
                  </c:extLst>
                </c:dPt>
                <c:dPt>
                  <c:idx val="4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45-DAB6-45DA-91D4-882BD746BCFB}"/>
                    </c:ext>
                  </c:extLst>
                </c:dPt>
                <c:dPt>
                  <c:idx val="4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73-B056-42B7-88DE-80749CFCCB2D}"/>
                    </c:ext>
                  </c:extLst>
                </c:dPt>
                <c:dPt>
                  <c:idx val="4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47-DAB6-45DA-91D4-882BD746BCFB}"/>
                    </c:ext>
                  </c:extLst>
                </c:dPt>
                <c:dPt>
                  <c:idx val="4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77-B056-42B7-88DE-80749CFCCB2D}"/>
                    </c:ext>
                  </c:extLst>
                </c:dPt>
                <c:dPt>
                  <c:idx val="4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1F-596B-4D92-9954-301040E220ED}"/>
                    </c:ext>
                  </c:extLst>
                </c:dPt>
                <c:dPt>
                  <c:idx val="4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2F-68AF-4A70-B683-C4D0C1441A52}"/>
                    </c:ext>
                  </c:extLst>
                </c:dPt>
                <c:dPt>
                  <c:idx val="4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13-2141-4CAD-8321-B92A7034E6C6}"/>
                    </c:ext>
                  </c:extLst>
                </c:dPt>
                <c:dPt>
                  <c:idx val="4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23-596B-4D92-9954-301040E220ED}"/>
                    </c:ext>
                  </c:extLst>
                </c:dPt>
                <c:dPt>
                  <c:idx val="4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DF-59B7-4954-977F-FA691076C96E}"/>
                    </c:ext>
                  </c:extLst>
                </c:dPt>
                <c:dPt>
                  <c:idx val="4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17-2141-4CAD-8321-B92A7034E6C6}"/>
                    </c:ext>
                  </c:extLst>
                </c:dPt>
                <c:dPt>
                  <c:idx val="5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FB-6E46-49EC-894E-39393BA39F32}"/>
                    </c:ext>
                  </c:extLst>
                </c:dPt>
                <c:dPt>
                  <c:idx val="5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1B-2141-4CAD-8321-B92A7034E6C6}"/>
                    </c:ext>
                  </c:extLst>
                </c:dPt>
                <c:dPt>
                  <c:idx val="5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C7-5597-45E1-A31B-D524361EF8E8}"/>
                    </c:ext>
                  </c:extLst>
                </c:dPt>
                <c:dPt>
                  <c:idx val="5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FF-6E46-49EC-894E-39393BA39F32}"/>
                    </c:ext>
                  </c:extLst>
                </c:dPt>
                <c:dPt>
                  <c:idx val="5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E3-59B7-4954-977F-FA691076C96E}"/>
                    </c:ext>
                  </c:extLst>
                </c:dPt>
                <c:dPt>
                  <c:idx val="5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03-6E46-49EC-894E-39393BA39F32}"/>
                    </c:ext>
                  </c:extLst>
                </c:dPt>
                <c:dPt>
                  <c:idx val="5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AF-CC2F-4B13-B669-E8947D387CAC}"/>
                    </c:ext>
                  </c:extLst>
                </c:dPt>
                <c:dPt>
                  <c:idx val="5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E7-59B7-4954-977F-FA691076C96E}"/>
                    </c:ext>
                  </c:extLst>
                </c:dPt>
                <c:dPt>
                  <c:idx val="5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CB-5597-45E1-A31B-D524361EF8E8}"/>
                    </c:ext>
                  </c:extLst>
                </c:dPt>
                <c:dPt>
                  <c:idx val="5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EB-59B7-4954-977F-FA691076C96E}"/>
                    </c:ext>
                  </c:extLst>
                </c:dPt>
                <c:dPt>
                  <c:idx val="6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97-23E5-487F-B5FC-486D3B6F33AD}"/>
                    </c:ext>
                  </c:extLst>
                </c:dPt>
                <c:dPt>
                  <c:idx val="6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CF-5597-45E1-A31B-D524361EF8E8}"/>
                    </c:ext>
                  </c:extLst>
                </c:dPt>
                <c:dPt>
                  <c:idx val="6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B3-CC2F-4B13-B669-E8947D387CAC}"/>
                    </c:ext>
                  </c:extLst>
                </c:dPt>
                <c:dPt>
                  <c:idx val="6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D3-5597-45E1-A31B-D524361EF8E8}"/>
                    </c:ext>
                  </c:extLst>
                </c:dPt>
                <c:dPt>
                  <c:idx val="6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5F-C9B8-4D8E-BB56-5E3C88048355}"/>
                    </c:ext>
                  </c:extLst>
                </c:dPt>
                <c:dPt>
                  <c:idx val="6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B7-CC2F-4B13-B669-E8947D387CAC}"/>
                    </c:ext>
                  </c:extLst>
                </c:dPt>
                <c:dPt>
                  <c:idx val="6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9B-23E5-487F-B5FC-486D3B6F33AD}"/>
                    </c:ext>
                  </c:extLst>
                </c:dPt>
                <c:dPt>
                  <c:idx val="6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BB-CC2F-4B13-B669-E8947D387CAC}"/>
                    </c:ext>
                  </c:extLst>
                </c:dPt>
                <c:dPt>
                  <c:idx val="6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81-7E19-43B5-AFD0-AA8159069CAE}"/>
                    </c:ext>
                  </c:extLst>
                </c:dPt>
                <c:dPt>
                  <c:idx val="6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9F-23E5-487F-B5FC-486D3B6F33AD}"/>
                    </c:ext>
                  </c:extLst>
                </c:dPt>
                <c:dPt>
                  <c:idx val="7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1D-AB76-4C01-B0E9-A19E035A66C4}"/>
                    </c:ext>
                  </c:extLst>
                </c:dPt>
                <c:dPt>
                  <c:idx val="7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A3-23E5-487F-B5FC-486D3B6F33AD}"/>
                    </c:ext>
                  </c:extLst>
                </c:dPt>
                <c:dPt>
                  <c:idx val="7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85-7E19-43B5-AFD0-AA8159069CAE}"/>
                    </c:ext>
                  </c:extLst>
                </c:dPt>
                <c:dPt>
                  <c:idx val="7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63-C9B8-4D8E-BB56-5E3C88048355}"/>
                    </c:ext>
                  </c:extLst>
                </c:dPt>
                <c:dPt>
                  <c:idx val="7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89-7E19-43B5-AFD0-AA8159069CAE}"/>
                    </c:ext>
                  </c:extLst>
                </c:dPt>
                <c:dPt>
                  <c:idx val="7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F3-F87F-4084-9D74-26F54D9DCDC8}"/>
                    </c:ext>
                  </c:extLst>
                </c:dPt>
                <c:dPt>
                  <c:idx val="7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8D-7E19-43B5-AFD0-AA8159069CAE}"/>
                    </c:ext>
                  </c:extLst>
                </c:dPt>
                <c:dPt>
                  <c:idx val="7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67-C9B8-4D8E-BB56-5E3C88048355}"/>
                    </c:ext>
                  </c:extLst>
                </c:dPt>
                <c:dPt>
                  <c:idx val="7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21-AB76-4C01-B0E9-A19E035A66C4}"/>
                    </c:ext>
                  </c:extLst>
                </c:dPt>
                <c:dPt>
                  <c:idx val="7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6B-C9B8-4D8E-BB56-5E3C88048355}"/>
                    </c:ext>
                  </c:extLst>
                </c:dPt>
                <c:dPt>
                  <c:idx val="8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47-3B3F-4C0F-9836-96B52C253EE0}"/>
                    </c:ext>
                  </c:extLst>
                </c:dPt>
                <c:dPt>
                  <c:idx val="8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6F-C9B8-4D8E-BB56-5E3C88048355}"/>
                    </c:ext>
                  </c:extLst>
                </c:dPt>
                <c:dPt>
                  <c:idx val="8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3B-98AC-40BA-9E50-0D29417390DE}"/>
                    </c:ext>
                  </c:extLst>
                </c:dPt>
                <c:dPt>
                  <c:idx val="8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4B-3B3F-4C0F-9836-96B52C253EE0}"/>
                    </c:ext>
                  </c:extLst>
                </c:dPt>
                <c:dPt>
                  <c:idx val="8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2F-517B-4D48-8CAD-2056264369A5}"/>
                    </c:ext>
                  </c:extLst>
                </c:dPt>
                <c:dPt>
                  <c:idx val="8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3F-98AC-40BA-9E50-0D29417390DE}"/>
                    </c:ext>
                  </c:extLst>
                </c:dPt>
                <c:dPt>
                  <c:idx val="8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0F-E1EB-456A-BEBE-EF697796FB60}"/>
                    </c:ext>
                  </c:extLst>
                </c:dPt>
                <c:dPt>
                  <c:idx val="8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33-517B-4D48-8CAD-2056264369A5}"/>
                    </c:ext>
                  </c:extLst>
                </c:dPt>
                <c:dPt>
                  <c:idx val="8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25-AB76-4C01-B0E9-A19E035A66C4}"/>
                    </c:ext>
                  </c:extLst>
                </c:dPt>
                <c:dPt>
                  <c:idx val="8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F7-F87F-4084-9D74-26F54D9DCDC8}"/>
                    </c:ext>
                  </c:extLst>
                </c:dPt>
                <c:dPt>
                  <c:idx val="9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29-AB76-4C01-B0E9-A19E035A66C4}"/>
                    </c:ext>
                  </c:extLst>
                </c:dPt>
                <c:dPt>
                  <c:idx val="9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05-A4AA-4F75-BAEF-2070A4AEC42C}"/>
                    </c:ext>
                  </c:extLst>
                </c:dPt>
                <c:dPt>
                  <c:idx val="9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2D-AB76-4C01-B0E9-A19E035A66C4}"/>
                    </c:ext>
                  </c:extLst>
                </c:dPt>
                <c:dPt>
                  <c:idx val="9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D7-DBCB-40F3-AAE3-A7FE123E6F99}"/>
                    </c:ext>
                  </c:extLst>
                </c:dPt>
                <c:dPt>
                  <c:idx val="9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09-A4AA-4F75-BAEF-2070A4AEC42C}"/>
                    </c:ext>
                  </c:extLst>
                </c:dPt>
                <c:dPt>
                  <c:idx val="9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FB-F87F-4084-9D74-26F54D9DCDC8}"/>
                    </c:ext>
                  </c:extLst>
                </c:dPt>
                <c:dPt>
                  <c:idx val="9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D9-DBCB-40F3-AAE3-A7FE123E6F99}"/>
                    </c:ext>
                  </c:extLst>
                </c:dPt>
                <c:dPt>
                  <c:idx val="9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FF-F87F-4084-9D74-26F54D9DCDC8}"/>
                    </c:ext>
                  </c:extLst>
                </c:dPt>
                <c:dPt>
                  <c:idx val="9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DB-DBCB-40F3-AAE3-A7FE123E6F99}"/>
                    </c:ext>
                  </c:extLst>
                </c:dPt>
                <c:dPt>
                  <c:idx val="9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03-F87F-4084-9D74-26F54D9DCDC8}"/>
                    </c:ext>
                  </c:extLst>
                </c:dPt>
                <c:dPt>
                  <c:idx val="10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CF-13FB-448F-AF5B-C2B348685C35}"/>
                    </c:ext>
                  </c:extLst>
                </c:dPt>
                <c:dPt>
                  <c:idx val="10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DF-DBCB-40F3-AAE3-A7FE123E6F99}"/>
                    </c:ext>
                  </c:extLst>
                </c:dPt>
                <c:dPt>
                  <c:idx val="10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C3-A92A-4A17-B06C-67702BFFE346}"/>
                    </c:ext>
                  </c:extLst>
                </c:dPt>
                <c:dPt>
                  <c:idx val="10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D3-13FB-448F-AF5B-C2B348685C35}"/>
                    </c:ext>
                  </c:extLst>
                </c:dPt>
                <c:dPt>
                  <c:idx val="10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B7-8EF1-442F-839B-C60B34E428DD}"/>
                    </c:ext>
                  </c:extLst>
                </c:dPt>
                <c:dPt>
                  <c:idx val="10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C7-A92A-4A17-B06C-67702BFFE346}"/>
                    </c:ext>
                  </c:extLst>
                </c:dPt>
                <c:dPt>
                  <c:idx val="10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AB-4CA5-42DA-BA81-20CB7E934741}"/>
                    </c:ext>
                  </c:extLst>
                </c:dPt>
                <c:dPt>
                  <c:idx val="10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BB-8EF1-442F-839B-C60B34E428DD}"/>
                    </c:ext>
                  </c:extLst>
                </c:dPt>
                <c:dPt>
                  <c:idx val="10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9F-9CAE-4E2A-A7F6-AF1D53AB3760}"/>
                    </c:ext>
                  </c:extLst>
                </c:dPt>
                <c:dPt>
                  <c:idx val="10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AF-4CA5-42DA-BA81-20CB7E934741}"/>
                    </c:ext>
                  </c:extLst>
                </c:dPt>
                <c:dPt>
                  <c:idx val="11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93-EB9E-43AE-8257-EBF97BE94AB2}"/>
                    </c:ext>
                  </c:extLst>
                </c:dPt>
                <c:dPt>
                  <c:idx val="11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A3-9CAE-4E2A-A7F6-AF1D53AB3760}"/>
                    </c:ext>
                  </c:extLst>
                </c:dPt>
                <c:dPt>
                  <c:idx val="11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87-2D1E-4B95-BA8A-55C2EB21D0B5}"/>
                    </c:ext>
                  </c:extLst>
                </c:dPt>
                <c:dPt>
                  <c:idx val="11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97-EB9E-43AE-8257-EBF97BE94AB2}"/>
                    </c:ext>
                  </c:extLst>
                </c:dPt>
                <c:dPt>
                  <c:idx val="11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7B-437E-4019-BCA3-0E44F50CDF0E}"/>
                    </c:ext>
                  </c:extLst>
                </c:dPt>
                <c:dPt>
                  <c:idx val="11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8B-2D1E-4B95-BA8A-55C2EB21D0B5}"/>
                    </c:ext>
                  </c:extLst>
                </c:dPt>
                <c:dPt>
                  <c:idx val="11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11-E1EB-456A-BEBE-EF697796FB60}"/>
                    </c:ext>
                  </c:extLst>
                </c:dPt>
                <c:dPt>
                  <c:idx val="11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7F-437E-4019-BCA3-0E44F50CDF0E}"/>
                    </c:ext>
                  </c:extLst>
                </c:dPt>
                <c:dPt>
                  <c:idx val="11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63-59A0-40C0-AD98-10F8257B2D31}"/>
                    </c:ext>
                  </c:extLst>
                </c:dPt>
                <c:dPt>
                  <c:idx val="11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83-437E-4019-BCA3-0E44F50CDF0E}"/>
                    </c:ext>
                  </c:extLst>
                </c:dPt>
                <c:dPt>
                  <c:idx val="12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49-0974-456E-BCB0-67A94FCED641}"/>
                    </c:ext>
                  </c:extLst>
                </c:dPt>
                <c:dPt>
                  <c:idx val="12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67-59A0-40C0-AD98-10F8257B2D31}"/>
                    </c:ext>
                  </c:extLst>
                </c:dPt>
                <c:dPt>
                  <c:idx val="12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13-E1EB-456A-BEBE-EF697796FB60}"/>
                    </c:ext>
                  </c:extLst>
                </c:dPt>
                <c:dPt>
                  <c:idx val="12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6B-59A0-40C0-AD98-10F8257B2D31}"/>
                    </c:ext>
                  </c:extLst>
                </c:dPt>
                <c:dPt>
                  <c:idx val="12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4D-0974-456E-BCB0-67A94FCED641}"/>
                    </c:ext>
                  </c:extLst>
                </c:dPt>
                <c:dPt>
                  <c:idx val="12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39-56D1-4B49-8296-DC493F75A797}"/>
                    </c:ext>
                  </c:extLst>
                </c:dPt>
                <c:dPt>
                  <c:idx val="12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51-0974-456E-BCB0-67A94FCED641}"/>
                    </c:ext>
                  </c:extLst>
                </c:dPt>
                <c:dPt>
                  <c:idx val="12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2D-A1EF-4F42-976F-AFFE4AC901E9}"/>
                    </c:ext>
                  </c:extLst>
                </c:dPt>
                <c:dPt>
                  <c:idx val="12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3D-56D1-4B49-8296-DC493F75A797}"/>
                    </c:ext>
                  </c:extLst>
                </c:dPt>
                <c:dPt>
                  <c:idx val="12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21-EFE7-4A98-8625-4B8E9E30DD15}"/>
                    </c:ext>
                  </c:extLst>
                </c:dPt>
                <c:dPt>
                  <c:idx val="13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31-A1EF-4F42-976F-AFFE4AC901E9}"/>
                    </c:ext>
                  </c:extLst>
                </c:dPt>
                <c:dPt>
                  <c:idx val="13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15-E1EB-456A-BEBE-EF697796FB60}"/>
                    </c:ext>
                  </c:extLst>
                </c:dPt>
                <c:dPt>
                  <c:idx val="13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25-EFE7-4A98-8625-4B8E9E30DD15}"/>
                    </c:ext>
                  </c:extLst>
                </c:dPt>
                <c:dPt>
                  <c:idx val="13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17-E1EB-456A-BEBE-EF697796FB60}"/>
                    </c:ext>
                  </c:extLst>
                </c:dPt>
                <c:dPt>
                  <c:idx val="13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19-E1EB-456A-BEBE-EF697796FB60}"/>
                    </c:ext>
                  </c:extLst>
                </c:dPt>
                <c:dPt>
                  <c:idx val="13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1B-E1EB-456A-BEBE-EF697796FB60}"/>
                    </c:ext>
                  </c:extLst>
                </c:dPt>
                <c:dPt>
                  <c:idx val="13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1D-E1EB-456A-BEBE-EF697796FB60}"/>
                    </c:ext>
                  </c:extLst>
                </c:dPt>
                <c:dPt>
                  <c:idx val="13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1F-E1EB-456A-BEBE-EF697796FB60}"/>
                    </c:ext>
                  </c:extLst>
                </c:dPt>
                <c:dPt>
                  <c:idx val="13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21-E1EB-456A-BEBE-EF697796FB60}"/>
                    </c:ext>
                  </c:extLst>
                </c:dPt>
                <c:dPt>
                  <c:idx val="13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23-E1EB-456A-BEBE-EF697796FB60}"/>
                    </c:ext>
                  </c:extLst>
                </c:dPt>
                <c:dPt>
                  <c:idx val="14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25-E1EB-456A-BEBE-EF697796FB60}"/>
                    </c:ext>
                  </c:extLst>
                </c:dPt>
                <c:dPt>
                  <c:idx val="14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27-E1EB-456A-BEBE-EF697796FB60}"/>
                    </c:ext>
                  </c:extLst>
                </c:dPt>
                <c:dPt>
                  <c:idx val="14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29-E1EB-456A-BEBE-EF697796FB60}"/>
                    </c:ext>
                  </c:extLst>
                </c:dPt>
                <c:dPt>
                  <c:idx val="14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2B-E1EB-456A-BEBE-EF697796FB60}"/>
                    </c:ext>
                  </c:extLst>
                </c:dPt>
                <c:dPt>
                  <c:idx val="14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2D-E1EB-456A-BEBE-EF697796FB60}"/>
                    </c:ext>
                  </c:extLst>
                </c:dPt>
                <c:dPt>
                  <c:idx val="14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2F-E1EB-456A-BEBE-EF697796FB60}"/>
                    </c:ext>
                  </c:extLst>
                </c:dPt>
                <c:dPt>
                  <c:idx val="14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31-E1EB-456A-BEBE-EF697796FB60}"/>
                    </c:ext>
                  </c:extLst>
                </c:dPt>
                <c:dPt>
                  <c:idx val="14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33-E1EB-456A-BEBE-EF697796FB60}"/>
                    </c:ext>
                  </c:extLst>
                </c:dPt>
                <c:dPt>
                  <c:idx val="14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35-E1EB-456A-BEBE-EF697796FB60}"/>
                    </c:ext>
                  </c:extLst>
                </c:dPt>
                <c:dPt>
                  <c:idx val="14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37-E1EB-456A-BEBE-EF697796FB60}"/>
                    </c:ext>
                  </c:extLst>
                </c:dPt>
                <c:dPt>
                  <c:idx val="15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39-E1EB-456A-BEBE-EF697796FB60}"/>
                    </c:ext>
                  </c:extLst>
                </c:dPt>
                <c:dPt>
                  <c:idx val="15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3B-E1EB-456A-BEBE-EF697796FB60}"/>
                    </c:ext>
                  </c:extLst>
                </c:dPt>
                <c:dPt>
                  <c:idx val="15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3D-E1EB-456A-BEBE-EF697796FB60}"/>
                    </c:ext>
                  </c:extLst>
                </c:dPt>
                <c:dPt>
                  <c:idx val="15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3F-E1EB-456A-BEBE-EF697796FB60}"/>
                    </c:ext>
                  </c:extLst>
                </c:dPt>
                <c:dPt>
                  <c:idx val="15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41-E1EB-456A-BEBE-EF697796FB60}"/>
                    </c:ext>
                  </c:extLst>
                </c:dPt>
                <c:dPt>
                  <c:idx val="15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43-E1EB-456A-BEBE-EF697796FB60}"/>
                    </c:ext>
                  </c:extLst>
                </c:dPt>
                <c:dPt>
                  <c:idx val="15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45-E1EB-456A-BEBE-EF697796FB60}"/>
                    </c:ext>
                  </c:extLst>
                </c:dPt>
                <c:dPt>
                  <c:idx val="15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47-E1EB-456A-BEBE-EF697796FB60}"/>
                    </c:ext>
                  </c:extLst>
                </c:dPt>
                <c:dPt>
                  <c:idx val="15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49-E1EB-456A-BEBE-EF697796FB60}"/>
                    </c:ext>
                  </c:extLst>
                </c:dPt>
                <c:dPt>
                  <c:idx val="15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4B-E1EB-456A-BEBE-EF697796FB60}"/>
                    </c:ext>
                  </c:extLst>
                </c:dPt>
                <c:dPt>
                  <c:idx val="16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4D-E1EB-456A-BEBE-EF697796FB60}"/>
                    </c:ext>
                  </c:extLst>
                </c:dPt>
                <c:dPt>
                  <c:idx val="16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4F-E1EB-456A-BEBE-EF697796FB60}"/>
                    </c:ext>
                  </c:extLst>
                </c:dPt>
                <c:dPt>
                  <c:idx val="16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51-E1EB-456A-BEBE-EF697796FB60}"/>
                    </c:ext>
                  </c:extLst>
                </c:dPt>
                <c:dPt>
                  <c:idx val="16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53-E1EB-456A-BEBE-EF697796FB60}"/>
                    </c:ext>
                  </c:extLst>
                </c:dPt>
                <c:dPt>
                  <c:idx val="16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55-E1EB-456A-BEBE-EF697796FB60}"/>
                    </c:ext>
                  </c:extLst>
                </c:dPt>
                <c:dPt>
                  <c:idx val="16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57-E1EB-456A-BEBE-EF697796FB60}"/>
                    </c:ext>
                  </c:extLst>
                </c:dPt>
                <c:dPt>
                  <c:idx val="16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59-E1EB-456A-BEBE-EF697796FB60}"/>
                    </c:ext>
                  </c:extLst>
                </c:dPt>
                <c:dPt>
                  <c:idx val="16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5B-E1EB-456A-BEBE-EF697796FB60}"/>
                    </c:ext>
                  </c:extLst>
                </c:dPt>
                <c:dPt>
                  <c:idx val="16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5D-E1EB-456A-BEBE-EF697796FB60}"/>
                    </c:ext>
                  </c:extLst>
                </c:dPt>
                <c:dPt>
                  <c:idx val="16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5F-E1EB-456A-BEBE-EF697796FB60}"/>
                    </c:ext>
                  </c:extLst>
                </c:dPt>
                <c:dPt>
                  <c:idx val="17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61-E1EB-456A-BEBE-EF697796FB60}"/>
                    </c:ext>
                  </c:extLst>
                </c:dPt>
                <c:dPt>
                  <c:idx val="17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63-E1EB-456A-BEBE-EF697796FB60}"/>
                    </c:ext>
                  </c:extLst>
                </c:dPt>
                <c:dPt>
                  <c:idx val="17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65-E1EB-456A-BEBE-EF697796FB60}"/>
                    </c:ext>
                  </c:extLst>
                </c:dPt>
                <c:dPt>
                  <c:idx val="17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67-E1EB-456A-BEBE-EF697796FB60}"/>
                    </c:ext>
                  </c:extLst>
                </c:dPt>
                <c:dPt>
                  <c:idx val="17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69-E1EB-456A-BEBE-EF697796FB60}"/>
                    </c:ext>
                  </c:extLst>
                </c:dPt>
                <c:dPt>
                  <c:idx val="17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6B-E1EB-456A-BEBE-EF697796FB60}"/>
                    </c:ext>
                  </c:extLst>
                </c:dPt>
                <c:dPt>
                  <c:idx val="17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6D-E1EB-456A-BEBE-EF697796FB60}"/>
                    </c:ext>
                  </c:extLst>
                </c:dPt>
                <c:dPt>
                  <c:idx val="17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6F-E1EB-456A-BEBE-EF697796FB60}"/>
                    </c:ext>
                  </c:extLst>
                </c:dPt>
                <c:dPt>
                  <c:idx val="17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71-E1EB-456A-BEBE-EF697796FB60}"/>
                    </c:ext>
                  </c:extLst>
                </c:dPt>
                <c:dPt>
                  <c:idx val="17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73-E1EB-456A-BEBE-EF697796FB60}"/>
                    </c:ext>
                  </c:extLst>
                </c:dPt>
                <c:dPt>
                  <c:idx val="18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75-E1EB-456A-BEBE-EF697796FB60}"/>
                    </c:ext>
                  </c:extLst>
                </c:dPt>
                <c:dPt>
                  <c:idx val="18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77-E1EB-456A-BEBE-EF697796FB60}"/>
                    </c:ext>
                  </c:extLst>
                </c:dPt>
                <c:dPt>
                  <c:idx val="18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79-E1EB-456A-BEBE-EF697796FB60}"/>
                    </c:ext>
                  </c:extLst>
                </c:dPt>
                <c:dPt>
                  <c:idx val="18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7B-E1EB-456A-BEBE-EF697796FB60}"/>
                    </c:ext>
                  </c:extLst>
                </c:dPt>
                <c:dPt>
                  <c:idx val="18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7D-E1EB-456A-BEBE-EF697796FB60}"/>
                    </c:ext>
                  </c:extLst>
                </c:dPt>
                <c:dPt>
                  <c:idx val="18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7F-E1EB-456A-BEBE-EF697796FB60}"/>
                    </c:ext>
                  </c:extLst>
                </c:dPt>
                <c:dPt>
                  <c:idx val="18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81-E1EB-456A-BEBE-EF697796FB60}"/>
                    </c:ext>
                  </c:extLst>
                </c:dPt>
                <c:dPt>
                  <c:idx val="18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83-E1EB-456A-BEBE-EF697796FB60}"/>
                    </c:ext>
                  </c:extLst>
                </c:dPt>
                <c:dPt>
                  <c:idx val="18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85-E1EB-456A-BEBE-EF697796FB60}"/>
                    </c:ext>
                  </c:extLst>
                </c:dPt>
                <c:dPt>
                  <c:idx val="18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87-E1EB-456A-BEBE-EF697796FB60}"/>
                    </c:ext>
                  </c:extLst>
                </c:dPt>
                <c:dPt>
                  <c:idx val="19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89-E1EB-456A-BEBE-EF697796FB60}"/>
                    </c:ext>
                  </c:extLst>
                </c:dPt>
                <c:dPt>
                  <c:idx val="19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8B-E1EB-456A-BEBE-EF697796FB60}"/>
                    </c:ext>
                  </c:extLst>
                </c:dPt>
                <c:dPt>
                  <c:idx val="19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8D-E1EB-456A-BEBE-EF697796FB60}"/>
                    </c:ext>
                  </c:extLst>
                </c:dPt>
                <c:dPt>
                  <c:idx val="19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8F-E1EB-456A-BEBE-EF697796FB60}"/>
                    </c:ext>
                  </c:extLst>
                </c:dPt>
                <c:dPt>
                  <c:idx val="19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91-E1EB-456A-BEBE-EF697796FB60}"/>
                    </c:ext>
                  </c:extLst>
                </c:dPt>
                <c:dPt>
                  <c:idx val="19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93-E1EB-456A-BEBE-EF697796FB60}"/>
                    </c:ext>
                  </c:extLst>
                </c:dPt>
                <c:dPt>
                  <c:idx val="19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95-E1EB-456A-BEBE-EF697796FB60}"/>
                    </c:ext>
                  </c:extLst>
                </c:dPt>
                <c:dPt>
                  <c:idx val="19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97-E1EB-456A-BEBE-EF697796FB60}"/>
                    </c:ext>
                  </c:extLst>
                </c:dPt>
                <c:dPt>
                  <c:idx val="19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99-E1EB-456A-BEBE-EF697796FB60}"/>
                    </c:ext>
                  </c:extLst>
                </c:dPt>
                <c:dPt>
                  <c:idx val="19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9B-E1EB-456A-BEBE-EF697796FB60}"/>
                    </c:ext>
                  </c:extLst>
                </c:dPt>
                <c:dPt>
                  <c:idx val="20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9D-E1EB-456A-BEBE-EF697796FB60}"/>
                    </c:ext>
                  </c:extLst>
                </c:dPt>
                <c:dPt>
                  <c:idx val="20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9F-E1EB-456A-BEBE-EF697796FB60}"/>
                    </c:ext>
                  </c:extLst>
                </c:dPt>
                <c:dPt>
                  <c:idx val="20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A1-E1EB-456A-BEBE-EF697796FB60}"/>
                    </c:ext>
                  </c:extLst>
                </c:dPt>
                <c:dPt>
                  <c:idx val="20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A3-E1EB-456A-BEBE-EF697796FB60}"/>
                    </c:ext>
                  </c:extLst>
                </c:dPt>
                <c:dPt>
                  <c:idx val="20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A5-E1EB-456A-BEBE-EF697796FB60}"/>
                    </c:ext>
                  </c:extLst>
                </c:dPt>
                <c:dPt>
                  <c:idx val="20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A7-E1EB-456A-BEBE-EF697796FB60}"/>
                    </c:ext>
                  </c:extLst>
                </c:dPt>
                <c:dPt>
                  <c:idx val="20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A9-E1EB-456A-BEBE-EF697796FB60}"/>
                    </c:ext>
                  </c:extLst>
                </c:dPt>
                <c:dPt>
                  <c:idx val="20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AB-E1EB-456A-BEBE-EF697796FB60}"/>
                    </c:ext>
                  </c:extLst>
                </c:dPt>
                <c:dPt>
                  <c:idx val="20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AD-E1EB-456A-BEBE-EF697796FB60}"/>
                    </c:ext>
                  </c:extLst>
                </c:dPt>
                <c:dPt>
                  <c:idx val="20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AF-E1EB-456A-BEBE-EF697796FB60}"/>
                    </c:ext>
                  </c:extLst>
                </c:dPt>
                <c:dPt>
                  <c:idx val="21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B1-E1EB-456A-BEBE-EF697796FB60}"/>
                    </c:ext>
                  </c:extLst>
                </c:dPt>
                <c:dPt>
                  <c:idx val="21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B3-E1EB-456A-BEBE-EF697796FB60}"/>
                    </c:ext>
                  </c:extLst>
                </c:dPt>
                <c:dPt>
                  <c:idx val="21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B5-E1EB-456A-BEBE-EF697796FB60}"/>
                    </c:ext>
                  </c:extLst>
                </c:dPt>
                <c:dPt>
                  <c:idx val="21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B7-E1EB-456A-BEBE-EF697796FB60}"/>
                    </c:ext>
                  </c:extLst>
                </c:dPt>
                <c:dPt>
                  <c:idx val="21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B9-E1EB-456A-BEBE-EF697796FB60}"/>
                    </c:ext>
                  </c:extLst>
                </c:dPt>
                <c:dPt>
                  <c:idx val="21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BB-E1EB-456A-BEBE-EF697796FB60}"/>
                    </c:ext>
                  </c:extLst>
                </c:dPt>
                <c:dPt>
                  <c:idx val="21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BD-E1EB-456A-BEBE-EF697796FB60}"/>
                    </c:ext>
                  </c:extLst>
                </c:dPt>
                <c:dPt>
                  <c:idx val="21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BF-E1EB-456A-BEBE-EF697796FB60}"/>
                    </c:ext>
                  </c:extLst>
                </c:dPt>
                <c:dPt>
                  <c:idx val="21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C1-E1EB-456A-BEBE-EF697796FB60}"/>
                    </c:ext>
                  </c:extLst>
                </c:dPt>
                <c:dPt>
                  <c:idx val="21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C3-E1EB-456A-BEBE-EF697796FB60}"/>
                    </c:ext>
                  </c:extLst>
                </c:dPt>
                <c:dPt>
                  <c:idx val="22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C5-E1EB-456A-BEBE-EF697796FB60}"/>
                    </c:ext>
                  </c:extLst>
                </c:dPt>
                <c:dPt>
                  <c:idx val="22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C7-E1EB-456A-BEBE-EF697796FB60}"/>
                    </c:ext>
                  </c:extLst>
                </c:dPt>
                <c:dPt>
                  <c:idx val="22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C9-E1EB-456A-BEBE-EF697796FB60}"/>
                    </c:ext>
                  </c:extLst>
                </c:dPt>
                <c:dPt>
                  <c:idx val="22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CB-E1EB-456A-BEBE-EF697796FB60}"/>
                    </c:ext>
                  </c:extLst>
                </c:dPt>
                <c:dPt>
                  <c:idx val="22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CD-E1EB-456A-BEBE-EF697796FB60}"/>
                    </c:ext>
                  </c:extLst>
                </c:dPt>
                <c:dPt>
                  <c:idx val="22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CF-E1EB-456A-BEBE-EF697796FB60}"/>
                    </c:ext>
                  </c:extLst>
                </c:dPt>
                <c:dPt>
                  <c:idx val="22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D1-E1EB-456A-BEBE-EF697796FB60}"/>
                    </c:ext>
                  </c:extLst>
                </c:dPt>
                <c:dPt>
                  <c:idx val="22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D3-E1EB-456A-BEBE-EF697796FB60}"/>
                    </c:ext>
                  </c:extLst>
                </c:dPt>
                <c:dPt>
                  <c:idx val="22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D5-E1EB-456A-BEBE-EF697796FB60}"/>
                    </c:ext>
                  </c:extLst>
                </c:dPt>
                <c:dPt>
                  <c:idx val="22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D7-E1EB-456A-BEBE-EF697796FB60}"/>
                    </c:ext>
                  </c:extLst>
                </c:dPt>
                <c:dPt>
                  <c:idx val="23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D9-E1EB-456A-BEBE-EF697796FB60}"/>
                    </c:ext>
                  </c:extLst>
                </c:dPt>
                <c:dPt>
                  <c:idx val="23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DB-E1EB-456A-BEBE-EF697796FB60}"/>
                    </c:ext>
                  </c:extLst>
                </c:dPt>
                <c:dPt>
                  <c:idx val="23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DD-E1EB-456A-BEBE-EF697796FB60}"/>
                    </c:ext>
                  </c:extLst>
                </c:dPt>
                <c:dPt>
                  <c:idx val="23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DF-E1EB-456A-BEBE-EF697796FB60}"/>
                    </c:ext>
                  </c:extLst>
                </c:dPt>
                <c:dPt>
                  <c:idx val="23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E1-E1EB-456A-BEBE-EF697796FB60}"/>
                    </c:ext>
                  </c:extLst>
                </c:dPt>
                <c:dPt>
                  <c:idx val="23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E3-E1EB-456A-BEBE-EF697796FB60}"/>
                    </c:ext>
                  </c:extLst>
                </c:dPt>
                <c:dPt>
                  <c:idx val="23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E5-E1EB-456A-BEBE-EF697796FB60}"/>
                    </c:ext>
                  </c:extLst>
                </c:dPt>
                <c:dPt>
                  <c:idx val="23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E7-E1EB-456A-BEBE-EF697796FB60}"/>
                    </c:ext>
                  </c:extLst>
                </c:dPt>
                <c:dPt>
                  <c:idx val="23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E9-E1EB-456A-BEBE-EF697796FB60}"/>
                    </c:ext>
                  </c:extLst>
                </c:dPt>
                <c:dPt>
                  <c:idx val="23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EB-E1EB-456A-BEBE-EF697796FB60}"/>
                    </c:ext>
                  </c:extLst>
                </c:dPt>
                <c:dPt>
                  <c:idx val="24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ED-E1EB-456A-BEBE-EF697796FB60}"/>
                    </c:ext>
                  </c:extLst>
                </c:dPt>
                <c:dPt>
                  <c:idx val="24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EF-E1EB-456A-BEBE-EF697796FB60}"/>
                    </c:ext>
                  </c:extLst>
                </c:dPt>
                <c:dPt>
                  <c:idx val="24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F1-E1EB-456A-BEBE-EF697796FB60}"/>
                    </c:ext>
                  </c:extLst>
                </c:dPt>
                <c:dPt>
                  <c:idx val="24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F3-E1EB-456A-BEBE-EF697796FB60}"/>
                    </c:ext>
                  </c:extLst>
                </c:dPt>
                <c:dPt>
                  <c:idx val="24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F5-E1EB-456A-BEBE-EF697796FB60}"/>
                    </c:ext>
                  </c:extLst>
                </c:dPt>
                <c:dPt>
                  <c:idx val="24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F7-E1EB-456A-BEBE-EF697796FB60}"/>
                    </c:ext>
                  </c:extLst>
                </c:dPt>
                <c:dPt>
                  <c:idx val="24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F9-E1EB-456A-BEBE-EF697796FB60}"/>
                    </c:ext>
                  </c:extLst>
                </c:dPt>
                <c:dPt>
                  <c:idx val="24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FB-E1EB-456A-BEBE-EF697796FB60}"/>
                    </c:ext>
                  </c:extLst>
                </c:dPt>
                <c:dPt>
                  <c:idx val="24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FD-E1EB-456A-BEBE-EF697796FB60}"/>
                    </c:ext>
                  </c:extLst>
                </c:dPt>
                <c:dPt>
                  <c:idx val="24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FF-E1EB-456A-BEBE-EF697796FB60}"/>
                    </c:ext>
                  </c:extLst>
                </c:dPt>
                <c:dPt>
                  <c:idx val="25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01-E1EB-456A-BEBE-EF697796FB60}"/>
                    </c:ext>
                  </c:extLst>
                </c:dPt>
                <c:dPt>
                  <c:idx val="25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03-E1EB-456A-BEBE-EF697796FB60}"/>
                    </c:ext>
                  </c:extLst>
                </c:dPt>
                <c:dPt>
                  <c:idx val="25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05-E1EB-456A-BEBE-EF697796FB60}"/>
                    </c:ext>
                  </c:extLst>
                </c:dPt>
                <c:dPt>
                  <c:idx val="25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07-E1EB-456A-BEBE-EF697796FB60}"/>
                    </c:ext>
                  </c:extLst>
                </c:dPt>
                <c:dPt>
                  <c:idx val="25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09-E1EB-456A-BEBE-EF697796FB60}"/>
                    </c:ext>
                  </c:extLst>
                </c:dPt>
                <c:dPt>
                  <c:idx val="25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0B-E1EB-456A-BEBE-EF697796FB60}"/>
                    </c:ext>
                  </c:extLst>
                </c:dPt>
                <c:dPt>
                  <c:idx val="25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0D-E1EB-456A-BEBE-EF697796FB60}"/>
                    </c:ext>
                  </c:extLst>
                </c:dPt>
                <c:dPt>
                  <c:idx val="25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0F-E1EB-456A-BEBE-EF697796FB60}"/>
                    </c:ext>
                  </c:extLst>
                </c:dPt>
                <c:dPt>
                  <c:idx val="25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11-E1EB-456A-BEBE-EF697796FB60}"/>
                    </c:ext>
                  </c:extLst>
                </c:dPt>
                <c:dPt>
                  <c:idx val="25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13-E1EB-456A-BEBE-EF697796FB60}"/>
                    </c:ext>
                  </c:extLst>
                </c:dPt>
                <c:dPt>
                  <c:idx val="26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15-E1EB-456A-BEBE-EF697796FB60}"/>
                    </c:ext>
                  </c:extLst>
                </c:dPt>
                <c:dPt>
                  <c:idx val="26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17-E1EB-456A-BEBE-EF697796FB60}"/>
                    </c:ext>
                  </c:extLst>
                </c:dPt>
                <c:dPt>
                  <c:idx val="26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19-E1EB-456A-BEBE-EF697796FB60}"/>
                    </c:ext>
                  </c:extLst>
                </c:dPt>
                <c:dPt>
                  <c:idx val="26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1B-E1EB-456A-BEBE-EF697796FB60}"/>
                    </c:ext>
                  </c:extLst>
                </c:dPt>
                <c:dPt>
                  <c:idx val="26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1D-E1EB-456A-BEBE-EF697796FB60}"/>
                    </c:ext>
                  </c:extLst>
                </c:dPt>
                <c:dPt>
                  <c:idx val="26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1F-E1EB-456A-BEBE-EF697796FB60}"/>
                    </c:ext>
                  </c:extLst>
                </c:dPt>
                <c:dPt>
                  <c:idx val="26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21-E1EB-456A-BEBE-EF697796FB60}"/>
                    </c:ext>
                  </c:extLst>
                </c:dPt>
                <c:dPt>
                  <c:idx val="26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23-E1EB-456A-BEBE-EF697796FB60}"/>
                    </c:ext>
                  </c:extLst>
                </c:dPt>
                <c:dPt>
                  <c:idx val="26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25-E1EB-456A-BEBE-EF697796FB60}"/>
                    </c:ext>
                  </c:extLst>
                </c:dPt>
                <c:dPt>
                  <c:idx val="26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27-E1EB-456A-BEBE-EF697796FB60}"/>
                    </c:ext>
                  </c:extLst>
                </c:dPt>
                <c:dPt>
                  <c:idx val="27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29-E1EB-456A-BEBE-EF697796FB60}"/>
                    </c:ext>
                  </c:extLst>
                </c:dPt>
                <c:dPt>
                  <c:idx val="27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2B-E1EB-456A-BEBE-EF697796FB60}"/>
                    </c:ext>
                  </c:extLst>
                </c:dPt>
                <c:dPt>
                  <c:idx val="27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2D-E1EB-456A-BEBE-EF697796FB60}"/>
                    </c:ext>
                  </c:extLst>
                </c:dPt>
                <c:dPt>
                  <c:idx val="27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2F-E1EB-456A-BEBE-EF697796FB60}"/>
                    </c:ext>
                  </c:extLst>
                </c:dPt>
                <c:dPt>
                  <c:idx val="27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31-E1EB-456A-BEBE-EF697796FB60}"/>
                    </c:ext>
                  </c:extLst>
                </c:dPt>
                <c:dPt>
                  <c:idx val="27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33-E1EB-456A-BEBE-EF697796FB60}"/>
                    </c:ext>
                  </c:extLst>
                </c:dPt>
                <c:dPt>
                  <c:idx val="27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35-E1EB-456A-BEBE-EF697796FB60}"/>
                    </c:ext>
                  </c:extLst>
                </c:dPt>
                <c:dPt>
                  <c:idx val="27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37-E1EB-456A-BEBE-EF697796FB60}"/>
                    </c:ext>
                  </c:extLst>
                </c:dPt>
                <c:dPt>
                  <c:idx val="27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39-E1EB-456A-BEBE-EF697796FB60}"/>
                    </c:ext>
                  </c:extLst>
                </c:dPt>
                <c:dPt>
                  <c:idx val="27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3B-E1EB-456A-BEBE-EF697796FB60}"/>
                    </c:ext>
                  </c:extLst>
                </c:dPt>
                <c:dPt>
                  <c:idx val="28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3D-E1EB-456A-BEBE-EF697796FB60}"/>
                    </c:ext>
                  </c:extLst>
                </c:dPt>
                <c:dPt>
                  <c:idx val="28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3F-E1EB-456A-BEBE-EF697796FB60}"/>
                    </c:ext>
                  </c:extLst>
                </c:dPt>
                <c:dPt>
                  <c:idx val="28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41-E1EB-456A-BEBE-EF697796FB60}"/>
                    </c:ext>
                  </c:extLst>
                </c:dPt>
                <c:dPt>
                  <c:idx val="28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43-E1EB-456A-BEBE-EF697796FB60}"/>
                    </c:ext>
                  </c:extLst>
                </c:dPt>
                <c:dPt>
                  <c:idx val="28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45-E1EB-456A-BEBE-EF697796FB60}"/>
                    </c:ext>
                  </c:extLst>
                </c:dPt>
                <c:dPt>
                  <c:idx val="28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47-E1EB-456A-BEBE-EF697796FB60}"/>
                    </c:ext>
                  </c:extLst>
                </c:dPt>
                <c:dPt>
                  <c:idx val="28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49-E1EB-456A-BEBE-EF697796FB60}"/>
                    </c:ext>
                  </c:extLst>
                </c:dPt>
                <c:dPt>
                  <c:idx val="28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4B-E1EB-456A-BEBE-EF697796FB60}"/>
                    </c:ext>
                  </c:extLst>
                </c:dPt>
                <c:dPt>
                  <c:idx val="28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4D-E1EB-456A-BEBE-EF697796FB60}"/>
                    </c:ext>
                  </c:extLst>
                </c:dPt>
                <c:dPt>
                  <c:idx val="28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4F-E1EB-456A-BEBE-EF697796FB60}"/>
                    </c:ext>
                  </c:extLst>
                </c:dPt>
                <c:dPt>
                  <c:idx val="29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51-E1EB-456A-BEBE-EF697796FB60}"/>
                    </c:ext>
                  </c:extLst>
                </c:dPt>
                <c:dPt>
                  <c:idx val="29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53-E1EB-456A-BEBE-EF697796FB60}"/>
                    </c:ext>
                  </c:extLst>
                </c:dPt>
                <c:dPt>
                  <c:idx val="29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55-E1EB-456A-BEBE-EF697796FB60}"/>
                    </c:ext>
                  </c:extLst>
                </c:dPt>
                <c:dPt>
                  <c:idx val="29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57-E1EB-456A-BEBE-EF697796FB60}"/>
                    </c:ext>
                  </c:extLst>
                </c:dPt>
                <c:dPt>
                  <c:idx val="29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59-E1EB-456A-BEBE-EF697796FB60}"/>
                    </c:ext>
                  </c:extLst>
                </c:dPt>
                <c:dPt>
                  <c:idx val="29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5B-E1EB-456A-BEBE-EF697796FB60}"/>
                    </c:ext>
                  </c:extLst>
                </c:dPt>
                <c:dPt>
                  <c:idx val="29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5D-E1EB-456A-BEBE-EF697796FB60}"/>
                    </c:ext>
                  </c:extLst>
                </c:dPt>
                <c:dPt>
                  <c:idx val="29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5F-E1EB-456A-BEBE-EF697796FB60}"/>
                    </c:ext>
                  </c:extLst>
                </c:dPt>
                <c:dPt>
                  <c:idx val="29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61-E1EB-456A-BEBE-EF697796FB60}"/>
                    </c:ext>
                  </c:extLst>
                </c:dPt>
                <c:dPt>
                  <c:idx val="29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63-E1EB-456A-BEBE-EF697796FB60}"/>
                    </c:ext>
                  </c:extLst>
                </c:dPt>
                <c:dPt>
                  <c:idx val="30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65-E1EB-456A-BEBE-EF697796FB60}"/>
                    </c:ext>
                  </c:extLst>
                </c:dPt>
                <c:dPt>
                  <c:idx val="30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67-E1EB-456A-BEBE-EF697796FB60}"/>
                    </c:ext>
                  </c:extLst>
                </c:dPt>
                <c:dPt>
                  <c:idx val="30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69-E1EB-456A-BEBE-EF697796FB60}"/>
                    </c:ext>
                  </c:extLst>
                </c:dPt>
                <c:dPt>
                  <c:idx val="30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6B-E1EB-456A-BEBE-EF697796FB60}"/>
                    </c:ext>
                  </c:extLst>
                </c:dPt>
                <c:dPt>
                  <c:idx val="30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6D-E1EB-456A-BEBE-EF697796FB60}"/>
                    </c:ext>
                  </c:extLst>
                </c:dPt>
                <c:dPt>
                  <c:idx val="30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6F-E1EB-456A-BEBE-EF697796FB60}"/>
                    </c:ext>
                  </c:extLst>
                </c:dPt>
                <c:dPt>
                  <c:idx val="30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71-E1EB-456A-BEBE-EF697796FB60}"/>
                    </c:ext>
                  </c:extLst>
                </c:dPt>
                <c:dPt>
                  <c:idx val="30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73-E1EB-456A-BEBE-EF697796FB60}"/>
                    </c:ext>
                  </c:extLst>
                </c:dPt>
                <c:dPt>
                  <c:idx val="30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75-E1EB-456A-BEBE-EF697796FB60}"/>
                    </c:ext>
                  </c:extLst>
                </c:dPt>
                <c:dPt>
                  <c:idx val="30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77-E1EB-456A-BEBE-EF697796FB60}"/>
                    </c:ext>
                  </c:extLst>
                </c:dPt>
                <c:dPt>
                  <c:idx val="31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79-E1EB-456A-BEBE-EF697796FB60}"/>
                    </c:ext>
                  </c:extLst>
                </c:dPt>
                <c:dPt>
                  <c:idx val="31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7B-E1EB-456A-BEBE-EF697796FB60}"/>
                    </c:ext>
                  </c:extLst>
                </c:dPt>
                <c:dPt>
                  <c:idx val="31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7D-E1EB-456A-BEBE-EF697796FB60}"/>
                    </c:ext>
                  </c:extLst>
                </c:dPt>
                <c:dPt>
                  <c:idx val="31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7F-E1EB-456A-BEBE-EF697796FB60}"/>
                    </c:ext>
                  </c:extLst>
                </c:dPt>
                <c:dPt>
                  <c:idx val="31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81-E1EB-456A-BEBE-EF697796FB60}"/>
                    </c:ext>
                  </c:extLst>
                </c:dPt>
                <c:dPt>
                  <c:idx val="31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83-E1EB-456A-BEBE-EF697796FB60}"/>
                    </c:ext>
                  </c:extLst>
                </c:dPt>
                <c:dPt>
                  <c:idx val="31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85-E1EB-456A-BEBE-EF697796FB60}"/>
                    </c:ext>
                  </c:extLst>
                </c:dPt>
                <c:dPt>
                  <c:idx val="31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87-E1EB-456A-BEBE-EF697796FB60}"/>
                    </c:ext>
                  </c:extLst>
                </c:dPt>
                <c:dPt>
                  <c:idx val="31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89-E1EB-456A-BEBE-EF697796FB60}"/>
                    </c:ext>
                  </c:extLst>
                </c:dPt>
                <c:dPt>
                  <c:idx val="31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8B-E1EB-456A-BEBE-EF697796FB60}"/>
                    </c:ext>
                  </c:extLst>
                </c:dPt>
                <c:dPt>
                  <c:idx val="32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8D-E1EB-456A-BEBE-EF697796FB60}"/>
                    </c:ext>
                  </c:extLst>
                </c:dPt>
                <c:dPt>
                  <c:idx val="32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8F-E1EB-456A-BEBE-EF697796FB60}"/>
                    </c:ext>
                  </c:extLst>
                </c:dPt>
                <c:dPt>
                  <c:idx val="32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91-E1EB-456A-BEBE-EF697796FB60}"/>
                    </c:ext>
                  </c:extLst>
                </c:dPt>
                <c:dPt>
                  <c:idx val="32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93-E1EB-456A-BEBE-EF697796FB60}"/>
                    </c:ext>
                  </c:extLst>
                </c:dPt>
                <c:dPt>
                  <c:idx val="32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95-E1EB-456A-BEBE-EF697796FB60}"/>
                    </c:ext>
                  </c:extLst>
                </c:dPt>
                <c:dPt>
                  <c:idx val="32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97-E1EB-456A-BEBE-EF697796FB60}"/>
                    </c:ext>
                  </c:extLst>
                </c:dPt>
                <c:dPt>
                  <c:idx val="32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99-E1EB-456A-BEBE-EF697796FB60}"/>
                    </c:ext>
                  </c:extLst>
                </c:dPt>
                <c:dPt>
                  <c:idx val="32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9B-E1EB-456A-BEBE-EF697796FB60}"/>
                    </c:ext>
                  </c:extLst>
                </c:dPt>
                <c:dPt>
                  <c:idx val="32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9D-E1EB-456A-BEBE-EF697796FB60}"/>
                    </c:ext>
                  </c:extLst>
                </c:dPt>
                <c:dPt>
                  <c:idx val="32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9F-E1EB-456A-BEBE-EF697796FB60}"/>
                    </c:ext>
                  </c:extLst>
                </c:dPt>
                <c:dPt>
                  <c:idx val="33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A1-E1EB-456A-BEBE-EF697796FB60}"/>
                    </c:ext>
                  </c:extLst>
                </c:dPt>
                <c:dPt>
                  <c:idx val="33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A3-E1EB-456A-BEBE-EF697796FB60}"/>
                    </c:ext>
                  </c:extLst>
                </c:dPt>
                <c:dPt>
                  <c:idx val="33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A5-E1EB-456A-BEBE-EF697796FB60}"/>
                    </c:ext>
                  </c:extLst>
                </c:dPt>
                <c:dPt>
                  <c:idx val="33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A7-E1EB-456A-BEBE-EF697796FB60}"/>
                    </c:ext>
                  </c:extLst>
                </c:dPt>
                <c:dPt>
                  <c:idx val="33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A9-E1EB-456A-BEBE-EF697796FB60}"/>
                    </c:ext>
                  </c:extLst>
                </c:dPt>
                <c:dPt>
                  <c:idx val="33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AB-E1EB-456A-BEBE-EF697796FB60}"/>
                    </c:ext>
                  </c:extLst>
                </c:dPt>
                <c:dPt>
                  <c:idx val="33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AD-E1EB-456A-BEBE-EF697796FB60}"/>
                    </c:ext>
                  </c:extLst>
                </c:dPt>
                <c:dPt>
                  <c:idx val="33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AF-E1EB-456A-BEBE-EF697796FB60}"/>
                    </c:ext>
                  </c:extLst>
                </c:dPt>
                <c:dPt>
                  <c:idx val="33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B1-E1EB-456A-BEBE-EF697796FB60}"/>
                    </c:ext>
                  </c:extLst>
                </c:dPt>
                <c:dPt>
                  <c:idx val="33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B3-E1EB-456A-BEBE-EF697796FB60}"/>
                    </c:ext>
                  </c:extLst>
                </c:dPt>
                <c:dPt>
                  <c:idx val="34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B5-E1EB-456A-BEBE-EF697796FB60}"/>
                    </c:ext>
                  </c:extLst>
                </c:dPt>
                <c:dPt>
                  <c:idx val="34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B7-E1EB-456A-BEBE-EF697796FB60}"/>
                    </c:ext>
                  </c:extLst>
                </c:dPt>
                <c:dPt>
                  <c:idx val="34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B9-E1EB-456A-BEBE-EF697796FB60}"/>
                    </c:ext>
                  </c:extLst>
                </c:dPt>
                <c:dPt>
                  <c:idx val="34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BB-E1EB-456A-BEBE-EF697796FB60}"/>
                    </c:ext>
                  </c:extLst>
                </c:dPt>
                <c:dPt>
                  <c:idx val="34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BD-E1EB-456A-BEBE-EF697796FB60}"/>
                    </c:ext>
                  </c:extLst>
                </c:dPt>
                <c:dPt>
                  <c:idx val="34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BF-E1EB-456A-BEBE-EF697796FB60}"/>
                    </c:ext>
                  </c:extLst>
                </c:dPt>
                <c:dPt>
                  <c:idx val="34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C1-E1EB-456A-BEBE-EF697796FB60}"/>
                    </c:ext>
                  </c:extLst>
                </c:dPt>
                <c:dPt>
                  <c:idx val="34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C3-E1EB-456A-BEBE-EF697796FB60}"/>
                    </c:ext>
                  </c:extLst>
                </c:dPt>
                <c:dPt>
                  <c:idx val="34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C5-E1EB-456A-BEBE-EF697796FB60}"/>
                    </c:ext>
                  </c:extLst>
                </c:dPt>
                <c:dPt>
                  <c:idx val="34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C7-E1EB-456A-BEBE-EF697796FB60}"/>
                    </c:ext>
                  </c:extLst>
                </c:dPt>
                <c:dPt>
                  <c:idx val="35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C9-E1EB-456A-BEBE-EF697796FB60}"/>
                    </c:ext>
                  </c:extLst>
                </c:dPt>
                <c:dPt>
                  <c:idx val="35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CB-E1EB-456A-BEBE-EF697796FB60}"/>
                    </c:ext>
                  </c:extLst>
                </c:dPt>
                <c:dPt>
                  <c:idx val="35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CD-E1EB-456A-BEBE-EF697796FB60}"/>
                    </c:ext>
                  </c:extLst>
                </c:dPt>
                <c:dPt>
                  <c:idx val="35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CF-E1EB-456A-BEBE-EF697796FB60}"/>
                    </c:ext>
                  </c:extLst>
                </c:dPt>
                <c:dPt>
                  <c:idx val="35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D1-E1EB-456A-BEBE-EF697796FB60}"/>
                    </c:ext>
                  </c:extLst>
                </c:dPt>
                <c:dPt>
                  <c:idx val="35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D3-E1EB-456A-BEBE-EF697796FB60}"/>
                    </c:ext>
                  </c:extLst>
                </c:dPt>
                <c:dPt>
                  <c:idx val="35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D5-E1EB-456A-BEBE-EF697796FB60}"/>
                    </c:ext>
                  </c:extLst>
                </c:dPt>
                <c:dPt>
                  <c:idx val="35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D7-E1EB-456A-BEBE-EF697796FB60}"/>
                    </c:ext>
                  </c:extLst>
                </c:dPt>
                <c:dPt>
                  <c:idx val="35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D9-E1EB-456A-BEBE-EF697796FB60}"/>
                    </c:ext>
                  </c:extLst>
                </c:dPt>
                <c:dPt>
                  <c:idx val="35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DB-E1EB-456A-BEBE-EF697796FB60}"/>
                    </c:ext>
                  </c:extLst>
                </c:dPt>
                <c:dPt>
                  <c:idx val="36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DD-E1EB-456A-BEBE-EF697796FB60}"/>
                    </c:ext>
                  </c:extLst>
                </c:dPt>
                <c:dPt>
                  <c:idx val="36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DF-E1EB-456A-BEBE-EF697796FB60}"/>
                    </c:ext>
                  </c:extLst>
                </c:dPt>
                <c:dPt>
                  <c:idx val="36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E1-E1EB-456A-BEBE-EF697796FB60}"/>
                    </c:ext>
                  </c:extLst>
                </c:dPt>
                <c:dPt>
                  <c:idx val="36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E3-E1EB-456A-BEBE-EF697796FB60}"/>
                    </c:ext>
                  </c:extLst>
                </c:dPt>
                <c:dPt>
                  <c:idx val="36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E5-E1EB-456A-BEBE-EF697796FB60}"/>
                    </c:ext>
                  </c:extLst>
                </c:dPt>
                <c:dPt>
                  <c:idx val="36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E7-E1EB-456A-BEBE-EF697796FB60}"/>
                    </c:ext>
                  </c:extLst>
                </c:dPt>
                <c:dPt>
                  <c:idx val="36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E9-E1EB-456A-BEBE-EF697796FB60}"/>
                    </c:ext>
                  </c:extLst>
                </c:dPt>
                <c:dPt>
                  <c:idx val="36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EB-E1EB-456A-BEBE-EF697796FB60}"/>
                    </c:ext>
                  </c:extLst>
                </c:dPt>
                <c:dPt>
                  <c:idx val="36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ED-E1EB-456A-BEBE-EF697796FB60}"/>
                    </c:ext>
                  </c:extLst>
                </c:dPt>
                <c:dPt>
                  <c:idx val="36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EF-E1EB-456A-BEBE-EF697796FB60}"/>
                    </c:ext>
                  </c:extLst>
                </c:dPt>
                <c:dPt>
                  <c:idx val="37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F1-E1EB-456A-BEBE-EF697796FB60}"/>
                    </c:ext>
                  </c:extLst>
                </c:dPt>
                <c:dPt>
                  <c:idx val="37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F3-E1EB-456A-BEBE-EF697796FB60}"/>
                    </c:ext>
                  </c:extLst>
                </c:dPt>
                <c:dPt>
                  <c:idx val="37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F5-E1EB-456A-BEBE-EF697796FB60}"/>
                    </c:ext>
                  </c:extLst>
                </c:dPt>
                <c:dPt>
                  <c:idx val="37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F7-E1EB-456A-BEBE-EF697796FB60}"/>
                    </c:ext>
                  </c:extLst>
                </c:dPt>
                <c:dPt>
                  <c:idx val="37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F9-E1EB-456A-BEBE-EF697796FB60}"/>
                    </c:ext>
                  </c:extLst>
                </c:dPt>
                <c:dPt>
                  <c:idx val="37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FB-E1EB-456A-BEBE-EF697796FB60}"/>
                    </c:ext>
                  </c:extLst>
                </c:dPt>
                <c:dPt>
                  <c:idx val="37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FD-E1EB-456A-BEBE-EF697796FB60}"/>
                    </c:ext>
                  </c:extLst>
                </c:dPt>
                <c:dPt>
                  <c:idx val="37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FF-E1EB-456A-BEBE-EF697796FB60}"/>
                    </c:ext>
                  </c:extLst>
                </c:dPt>
                <c:dPt>
                  <c:idx val="37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01-E1EB-456A-BEBE-EF697796FB60}"/>
                    </c:ext>
                  </c:extLst>
                </c:dPt>
                <c:dPt>
                  <c:idx val="37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03-E1EB-456A-BEBE-EF697796FB60}"/>
                    </c:ext>
                  </c:extLst>
                </c:dPt>
                <c:dPt>
                  <c:idx val="38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05-E1EB-456A-BEBE-EF697796FB60}"/>
                    </c:ext>
                  </c:extLst>
                </c:dPt>
                <c:dPt>
                  <c:idx val="38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07-E1EB-456A-BEBE-EF697796FB60}"/>
                    </c:ext>
                  </c:extLst>
                </c:dPt>
                <c:dPt>
                  <c:idx val="38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09-E1EB-456A-BEBE-EF697796FB60}"/>
                    </c:ext>
                  </c:extLst>
                </c:dPt>
                <c:dPt>
                  <c:idx val="38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0B-E1EB-456A-BEBE-EF697796FB60}"/>
                    </c:ext>
                  </c:extLst>
                </c:dPt>
                <c:dPt>
                  <c:idx val="38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0D-E1EB-456A-BEBE-EF697796FB60}"/>
                    </c:ext>
                  </c:extLst>
                </c:dPt>
                <c:dPt>
                  <c:idx val="38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0F-E1EB-456A-BEBE-EF697796FB60}"/>
                    </c:ext>
                  </c:extLst>
                </c:dPt>
                <c:dPt>
                  <c:idx val="38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11-E1EB-456A-BEBE-EF697796FB60}"/>
                    </c:ext>
                  </c:extLst>
                </c:dPt>
                <c:dPt>
                  <c:idx val="38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13-E1EB-456A-BEBE-EF697796FB60}"/>
                    </c:ext>
                  </c:extLst>
                </c:dPt>
                <c:dPt>
                  <c:idx val="38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15-E1EB-456A-BEBE-EF697796FB60}"/>
                    </c:ext>
                  </c:extLst>
                </c:dPt>
                <c:dPt>
                  <c:idx val="38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17-E1EB-456A-BEBE-EF697796FB60}"/>
                    </c:ext>
                  </c:extLst>
                </c:dPt>
                <c:dPt>
                  <c:idx val="39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19-E1EB-456A-BEBE-EF697796FB60}"/>
                    </c:ext>
                  </c:extLst>
                </c:dPt>
                <c:dPt>
                  <c:idx val="39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1B-E1EB-456A-BEBE-EF697796FB60}"/>
                    </c:ext>
                  </c:extLst>
                </c:dPt>
                <c:dPt>
                  <c:idx val="39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1D-E1EB-456A-BEBE-EF697796FB60}"/>
                    </c:ext>
                  </c:extLst>
                </c:dPt>
                <c:dPt>
                  <c:idx val="39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1F-E1EB-456A-BEBE-EF697796FB60}"/>
                    </c:ext>
                  </c:extLst>
                </c:dPt>
                <c:dPt>
                  <c:idx val="39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21-E1EB-456A-BEBE-EF697796FB60}"/>
                    </c:ext>
                  </c:extLst>
                </c:dPt>
                <c:dPt>
                  <c:idx val="39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23-E1EB-456A-BEBE-EF697796FB60}"/>
                    </c:ext>
                  </c:extLst>
                </c:dPt>
                <c:dPt>
                  <c:idx val="39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25-E1EB-456A-BEBE-EF697796FB60}"/>
                    </c:ext>
                  </c:extLst>
                </c:dPt>
                <c:dPt>
                  <c:idx val="39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27-E1EB-456A-BEBE-EF697796FB60}"/>
                    </c:ext>
                  </c:extLst>
                </c:dPt>
                <c:dPt>
                  <c:idx val="39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29-E1EB-456A-BEBE-EF697796FB60}"/>
                    </c:ext>
                  </c:extLst>
                </c:dPt>
                <c:dPt>
                  <c:idx val="39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2B-E1EB-456A-BEBE-EF697796FB60}"/>
                    </c:ext>
                  </c:extLst>
                </c:dPt>
                <c:dPt>
                  <c:idx val="40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2D-E1EB-456A-BEBE-EF697796FB60}"/>
                    </c:ext>
                  </c:extLst>
                </c:dPt>
                <c:dPt>
                  <c:idx val="40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2F-E1EB-456A-BEBE-EF697796FB60}"/>
                    </c:ext>
                  </c:extLst>
                </c:dPt>
                <c:dPt>
                  <c:idx val="40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31-E1EB-456A-BEBE-EF697796FB60}"/>
                    </c:ext>
                  </c:extLst>
                </c:dPt>
                <c:dPt>
                  <c:idx val="40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33-E1EB-456A-BEBE-EF697796FB60}"/>
                    </c:ext>
                  </c:extLst>
                </c:dPt>
                <c:dPt>
                  <c:idx val="40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35-E1EB-456A-BEBE-EF697796FB60}"/>
                    </c:ext>
                  </c:extLst>
                </c:dPt>
                <c:dPt>
                  <c:idx val="40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37-E1EB-456A-BEBE-EF697796FB60}"/>
                    </c:ext>
                  </c:extLst>
                </c:dPt>
                <c:dPt>
                  <c:idx val="40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39-E1EB-456A-BEBE-EF697796FB60}"/>
                    </c:ext>
                  </c:extLst>
                </c:dPt>
                <c:dPt>
                  <c:idx val="40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3B-E1EB-456A-BEBE-EF697796FB60}"/>
                    </c:ext>
                  </c:extLst>
                </c:dPt>
                <c:dPt>
                  <c:idx val="40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3D-E1EB-456A-BEBE-EF697796FB60}"/>
                    </c:ext>
                  </c:extLst>
                </c:dPt>
                <c:dPt>
                  <c:idx val="40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3F-E1EB-456A-BEBE-EF697796FB60}"/>
                    </c:ext>
                  </c:extLst>
                </c:dPt>
                <c:dPt>
                  <c:idx val="41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41-E1EB-456A-BEBE-EF697796FB60}"/>
                    </c:ext>
                  </c:extLst>
                </c:dPt>
                <c:dPt>
                  <c:idx val="41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43-E1EB-456A-BEBE-EF697796FB60}"/>
                    </c:ext>
                  </c:extLst>
                </c:dPt>
                <c:dPt>
                  <c:idx val="41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45-E1EB-456A-BEBE-EF697796FB60}"/>
                    </c:ext>
                  </c:extLst>
                </c:dPt>
                <c:dPt>
                  <c:idx val="41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47-E1EB-456A-BEBE-EF697796FB60}"/>
                    </c:ext>
                  </c:extLst>
                </c:dPt>
                <c:dPt>
                  <c:idx val="41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49-E1EB-456A-BEBE-EF697796FB60}"/>
                    </c:ext>
                  </c:extLst>
                </c:dPt>
                <c:dPt>
                  <c:idx val="41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4B-E1EB-456A-BEBE-EF697796FB60}"/>
                    </c:ext>
                  </c:extLst>
                </c:dPt>
                <c:dPt>
                  <c:idx val="41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4D-E1EB-456A-BEBE-EF697796FB60}"/>
                    </c:ext>
                  </c:extLst>
                </c:dPt>
                <c:dPt>
                  <c:idx val="41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4F-E1EB-456A-BEBE-EF697796FB60}"/>
                    </c:ext>
                  </c:extLst>
                </c:dPt>
                <c:dPt>
                  <c:idx val="41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51-E1EB-456A-BEBE-EF697796FB60}"/>
                    </c:ext>
                  </c:extLst>
                </c:dPt>
                <c:dPt>
                  <c:idx val="41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53-E1EB-456A-BEBE-EF697796FB60}"/>
                    </c:ext>
                  </c:extLst>
                </c:dPt>
                <c:dPt>
                  <c:idx val="42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55-E1EB-456A-BEBE-EF697796FB60}"/>
                    </c:ext>
                  </c:extLst>
                </c:dPt>
                <c:dPt>
                  <c:idx val="42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57-E1EB-456A-BEBE-EF697796FB60}"/>
                    </c:ext>
                  </c:extLst>
                </c:dPt>
                <c:dPt>
                  <c:idx val="42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59-E1EB-456A-BEBE-EF697796FB60}"/>
                    </c:ext>
                  </c:extLst>
                </c:dPt>
                <c:dPt>
                  <c:idx val="42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5B-E1EB-456A-BEBE-EF697796FB60}"/>
                    </c:ext>
                  </c:extLst>
                </c:dPt>
                <c:dPt>
                  <c:idx val="42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5D-E1EB-456A-BEBE-EF697796FB60}"/>
                    </c:ext>
                  </c:extLst>
                </c:dPt>
                <c:dPt>
                  <c:idx val="42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5F-E1EB-456A-BEBE-EF697796FB60}"/>
                    </c:ext>
                  </c:extLst>
                </c:dPt>
                <c:dPt>
                  <c:idx val="42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61-E1EB-456A-BEBE-EF697796FB60}"/>
                    </c:ext>
                  </c:extLst>
                </c:dPt>
                <c:dPt>
                  <c:idx val="42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63-E1EB-456A-BEBE-EF697796FB60}"/>
                    </c:ext>
                  </c:extLst>
                </c:dPt>
                <c:dPt>
                  <c:idx val="42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65-E1EB-456A-BEBE-EF697796FB60}"/>
                    </c:ext>
                  </c:extLst>
                </c:dPt>
                <c:dPt>
                  <c:idx val="42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67-E1EB-456A-BEBE-EF697796FB60}"/>
                    </c:ext>
                  </c:extLst>
                </c:dPt>
                <c:dPt>
                  <c:idx val="43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69-E1EB-456A-BEBE-EF697796FB60}"/>
                    </c:ext>
                  </c:extLst>
                </c:dPt>
                <c:dPt>
                  <c:idx val="43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6B-E1EB-456A-BEBE-EF697796FB60}"/>
                    </c:ext>
                  </c:extLst>
                </c:dPt>
                <c:dPt>
                  <c:idx val="43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6D-E1EB-456A-BEBE-EF697796FB60}"/>
                    </c:ext>
                  </c:extLst>
                </c:dPt>
                <c:dPt>
                  <c:idx val="43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6F-E1EB-456A-BEBE-EF697796FB60}"/>
                    </c:ext>
                  </c:extLst>
                </c:dPt>
                <c:dPt>
                  <c:idx val="43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71-E1EB-456A-BEBE-EF697796FB60}"/>
                    </c:ext>
                  </c:extLst>
                </c:dPt>
                <c:dPt>
                  <c:idx val="43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73-E1EB-456A-BEBE-EF697796FB60}"/>
                    </c:ext>
                  </c:extLst>
                </c:dPt>
                <c:dPt>
                  <c:idx val="43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75-E1EB-456A-BEBE-EF697796FB60}"/>
                    </c:ext>
                  </c:extLst>
                </c:dPt>
                <c:dPt>
                  <c:idx val="43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77-E1EB-456A-BEBE-EF697796FB60}"/>
                    </c:ext>
                  </c:extLst>
                </c:dPt>
                <c:dPt>
                  <c:idx val="43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79-E1EB-456A-BEBE-EF697796FB60}"/>
                    </c:ext>
                  </c:extLst>
                </c:dPt>
                <c:dPt>
                  <c:idx val="43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7B-E1EB-456A-BEBE-EF697796FB60}"/>
                    </c:ext>
                  </c:extLst>
                </c:dPt>
                <c:dPt>
                  <c:idx val="44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7D-E1EB-456A-BEBE-EF697796FB60}"/>
                    </c:ext>
                  </c:extLst>
                </c:dPt>
                <c:dPt>
                  <c:idx val="44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7F-E1EB-456A-BEBE-EF697796FB60}"/>
                    </c:ext>
                  </c:extLst>
                </c:dPt>
                <c:dPt>
                  <c:idx val="44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81-E1EB-456A-BEBE-EF697796FB60}"/>
                    </c:ext>
                  </c:extLst>
                </c:dPt>
                <c:dPt>
                  <c:idx val="44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83-E1EB-456A-BEBE-EF697796FB60}"/>
                    </c:ext>
                  </c:extLst>
                </c:dPt>
                <c:dPt>
                  <c:idx val="44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85-E1EB-456A-BEBE-EF697796FB60}"/>
                    </c:ext>
                  </c:extLst>
                </c:dPt>
                <c:dPt>
                  <c:idx val="44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87-E1EB-456A-BEBE-EF697796FB60}"/>
                    </c:ext>
                  </c:extLst>
                </c:dPt>
                <c:dPt>
                  <c:idx val="44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89-E1EB-456A-BEBE-EF697796FB60}"/>
                    </c:ext>
                  </c:extLst>
                </c:dPt>
                <c:dPt>
                  <c:idx val="44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8B-E1EB-456A-BEBE-EF697796FB60}"/>
                    </c:ext>
                  </c:extLst>
                </c:dPt>
                <c:dPt>
                  <c:idx val="44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8D-E1EB-456A-BEBE-EF697796FB60}"/>
                    </c:ext>
                  </c:extLst>
                </c:dPt>
                <c:dPt>
                  <c:idx val="44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8F-E1EB-456A-BEBE-EF697796FB60}"/>
                    </c:ext>
                  </c:extLst>
                </c:dPt>
                <c:dPt>
                  <c:idx val="45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91-E1EB-456A-BEBE-EF697796FB60}"/>
                    </c:ext>
                  </c:extLst>
                </c:dPt>
                <c:dPt>
                  <c:idx val="45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93-E1EB-456A-BEBE-EF697796FB60}"/>
                    </c:ext>
                  </c:extLst>
                </c:dPt>
                <c:dPt>
                  <c:idx val="45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95-E1EB-456A-BEBE-EF697796FB60}"/>
                    </c:ext>
                  </c:extLst>
                </c:dPt>
                <c:dPt>
                  <c:idx val="45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97-E1EB-456A-BEBE-EF697796FB60}"/>
                    </c:ext>
                  </c:extLst>
                </c:dPt>
                <c:dPt>
                  <c:idx val="45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99-E1EB-456A-BEBE-EF697796FB60}"/>
                    </c:ext>
                  </c:extLst>
                </c:dPt>
                <c:dPt>
                  <c:idx val="45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9B-E1EB-456A-BEBE-EF697796FB60}"/>
                    </c:ext>
                  </c:extLst>
                </c:dPt>
                <c:dPt>
                  <c:idx val="45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9D-E1EB-456A-BEBE-EF697796FB60}"/>
                    </c:ext>
                  </c:extLst>
                </c:dPt>
                <c:dPt>
                  <c:idx val="45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9F-E1EB-456A-BEBE-EF697796FB60}"/>
                    </c:ext>
                  </c:extLst>
                </c:dPt>
                <c:dPt>
                  <c:idx val="45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A1-E1EB-456A-BEBE-EF697796FB60}"/>
                    </c:ext>
                  </c:extLst>
                </c:dPt>
                <c:dPt>
                  <c:idx val="45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A3-E1EB-456A-BEBE-EF697796FB60}"/>
                    </c:ext>
                  </c:extLst>
                </c:dPt>
                <c:dPt>
                  <c:idx val="46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A5-E1EB-456A-BEBE-EF697796FB60}"/>
                    </c:ext>
                  </c:extLst>
                </c:dPt>
                <c:dPt>
                  <c:idx val="46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A7-E1EB-456A-BEBE-EF697796FB60}"/>
                    </c:ext>
                  </c:extLst>
                </c:dPt>
                <c:dPt>
                  <c:idx val="46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A9-E1EB-456A-BEBE-EF697796FB60}"/>
                    </c:ext>
                  </c:extLst>
                </c:dPt>
                <c:dPt>
                  <c:idx val="46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AB-E1EB-456A-BEBE-EF697796FB60}"/>
                    </c:ext>
                  </c:extLst>
                </c:dPt>
                <c:dPt>
                  <c:idx val="46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AD-E1EB-456A-BEBE-EF697796FB60}"/>
                    </c:ext>
                  </c:extLst>
                </c:dPt>
                <c:dPt>
                  <c:idx val="46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AF-E1EB-456A-BEBE-EF697796FB60}"/>
                    </c:ext>
                  </c:extLst>
                </c:dPt>
                <c:dPt>
                  <c:idx val="46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B1-E1EB-456A-BEBE-EF697796FB60}"/>
                    </c:ext>
                  </c:extLst>
                </c:dPt>
                <c:dPt>
                  <c:idx val="46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B3-E1EB-456A-BEBE-EF697796FB60}"/>
                    </c:ext>
                  </c:extLst>
                </c:dPt>
                <c:dPt>
                  <c:idx val="46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B5-E1EB-456A-BEBE-EF697796FB60}"/>
                    </c:ext>
                  </c:extLst>
                </c:dPt>
                <c:dPt>
                  <c:idx val="46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B7-E1EB-456A-BEBE-EF697796FB60}"/>
                    </c:ext>
                  </c:extLst>
                </c:dPt>
                <c:dPt>
                  <c:idx val="47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B9-E1EB-456A-BEBE-EF697796FB60}"/>
                    </c:ext>
                  </c:extLst>
                </c:dPt>
                <c:dPt>
                  <c:idx val="47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BB-E1EB-456A-BEBE-EF697796FB60}"/>
                    </c:ext>
                  </c:extLst>
                </c:dPt>
                <c:dPt>
                  <c:idx val="47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BD-E1EB-456A-BEBE-EF697796FB60}"/>
                    </c:ext>
                  </c:extLst>
                </c:dPt>
                <c:dPt>
                  <c:idx val="47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BF-E1EB-456A-BEBE-EF697796FB60}"/>
                    </c:ext>
                  </c:extLst>
                </c:dPt>
                <c:dPt>
                  <c:idx val="47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C1-E1EB-456A-BEBE-EF697796FB60}"/>
                    </c:ext>
                  </c:extLst>
                </c:dPt>
                <c:dPt>
                  <c:idx val="47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C3-E1EB-456A-BEBE-EF697796FB60}"/>
                    </c:ext>
                  </c:extLst>
                </c:dPt>
                <c:dPt>
                  <c:idx val="47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C5-E1EB-456A-BEBE-EF697796FB60}"/>
                    </c:ext>
                  </c:extLst>
                </c:dPt>
                <c:dPt>
                  <c:idx val="47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C7-E1EB-456A-BEBE-EF697796FB60}"/>
                    </c:ext>
                  </c:extLst>
                </c:dPt>
                <c:dPt>
                  <c:idx val="47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C9-E1EB-456A-BEBE-EF697796FB60}"/>
                    </c:ext>
                  </c:extLst>
                </c:dPt>
                <c:dPt>
                  <c:idx val="47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CB-E1EB-456A-BEBE-EF697796FB60}"/>
                    </c:ext>
                  </c:extLst>
                </c:dPt>
                <c:dPt>
                  <c:idx val="48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CD-E1EB-456A-BEBE-EF697796FB60}"/>
                    </c:ext>
                  </c:extLst>
                </c:dPt>
                <c:dPt>
                  <c:idx val="48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CF-E1EB-456A-BEBE-EF697796FB60}"/>
                    </c:ext>
                  </c:extLst>
                </c:dPt>
                <c:dPt>
                  <c:idx val="48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D1-E1EB-456A-BEBE-EF697796FB60}"/>
                    </c:ext>
                  </c:extLst>
                </c:dPt>
                <c:dPt>
                  <c:idx val="48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D3-E1EB-456A-BEBE-EF697796FB60}"/>
                    </c:ext>
                  </c:extLst>
                </c:dPt>
                <c:dPt>
                  <c:idx val="48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D5-E1EB-456A-BEBE-EF697796FB60}"/>
                    </c:ext>
                  </c:extLst>
                </c:dPt>
                <c:dPt>
                  <c:idx val="48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D7-E1EB-456A-BEBE-EF697796FB60}"/>
                    </c:ext>
                  </c:extLst>
                </c:dPt>
                <c:dPt>
                  <c:idx val="48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D9-E1EB-456A-BEBE-EF697796FB60}"/>
                    </c:ext>
                  </c:extLst>
                </c:dPt>
                <c:dPt>
                  <c:idx val="48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DB-E1EB-456A-BEBE-EF697796FB60}"/>
                    </c:ext>
                  </c:extLst>
                </c:dPt>
                <c:dPt>
                  <c:idx val="48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DD-E1EB-456A-BEBE-EF697796FB60}"/>
                    </c:ext>
                  </c:extLst>
                </c:dPt>
                <c:dPt>
                  <c:idx val="48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DF-E1EB-456A-BEBE-EF697796FB60}"/>
                    </c:ext>
                  </c:extLst>
                </c:dPt>
                <c:dPt>
                  <c:idx val="49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E1-E1EB-456A-BEBE-EF697796FB60}"/>
                    </c:ext>
                  </c:extLst>
                </c:dPt>
                <c:dPt>
                  <c:idx val="49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E3-E1EB-456A-BEBE-EF697796FB60}"/>
                    </c:ext>
                  </c:extLst>
                </c:dPt>
                <c:dPt>
                  <c:idx val="49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E5-E1EB-456A-BEBE-EF697796FB60}"/>
                    </c:ext>
                  </c:extLst>
                </c:dPt>
                <c:dPt>
                  <c:idx val="49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E7-E1EB-456A-BEBE-EF697796FB60}"/>
                    </c:ext>
                  </c:extLst>
                </c:dPt>
                <c:dPt>
                  <c:idx val="49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E9-E1EB-456A-BEBE-EF697796FB60}"/>
                    </c:ext>
                  </c:extLst>
                </c:dPt>
                <c:dPt>
                  <c:idx val="49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EB-E1EB-456A-BEBE-EF697796FB60}"/>
                    </c:ext>
                  </c:extLst>
                </c:dPt>
                <c:dPt>
                  <c:idx val="49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ED-E1EB-456A-BEBE-EF697796FB60}"/>
                    </c:ext>
                  </c:extLst>
                </c:dPt>
                <c:dPt>
                  <c:idx val="49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EF-E1EB-456A-BEBE-EF697796FB60}"/>
                    </c:ext>
                  </c:extLst>
                </c:dPt>
                <c:dPt>
                  <c:idx val="49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F1-E1EB-456A-BEBE-EF697796FB60}"/>
                    </c:ext>
                  </c:extLst>
                </c:dPt>
                <c:dPt>
                  <c:idx val="49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F3-E1EB-456A-BEBE-EF697796FB60}"/>
                    </c:ext>
                  </c:extLst>
                </c:dPt>
                <c:dPt>
                  <c:idx val="50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F5-E1EB-456A-BEBE-EF697796FB60}"/>
                    </c:ext>
                  </c:extLst>
                </c:dPt>
                <c:dPt>
                  <c:idx val="50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F7-E1EB-456A-BEBE-EF697796FB60}"/>
                    </c:ext>
                  </c:extLst>
                </c:dPt>
                <c:dPt>
                  <c:idx val="50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F9-E1EB-456A-BEBE-EF697796FB60}"/>
                    </c:ext>
                  </c:extLst>
                </c:dPt>
                <c:dPt>
                  <c:idx val="50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FB-E1EB-456A-BEBE-EF697796FB60}"/>
                    </c:ext>
                  </c:extLst>
                </c:dPt>
                <c:dPt>
                  <c:idx val="50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FD-E1EB-456A-BEBE-EF697796FB60}"/>
                    </c:ext>
                  </c:extLst>
                </c:dPt>
                <c:dPt>
                  <c:idx val="50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FF-E1EB-456A-BEBE-EF697796FB60}"/>
                    </c:ext>
                  </c:extLst>
                </c:dPt>
                <c:dPt>
                  <c:idx val="50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01-E1EB-456A-BEBE-EF697796FB60}"/>
                    </c:ext>
                  </c:extLst>
                </c:dPt>
                <c:dPt>
                  <c:idx val="50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03-E1EB-456A-BEBE-EF697796FB60}"/>
                    </c:ext>
                  </c:extLst>
                </c:dPt>
                <c:dPt>
                  <c:idx val="50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05-E1EB-456A-BEBE-EF697796FB60}"/>
                    </c:ext>
                  </c:extLst>
                </c:dPt>
                <c:dPt>
                  <c:idx val="50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07-E1EB-456A-BEBE-EF697796FB60}"/>
                    </c:ext>
                  </c:extLst>
                </c:dPt>
                <c:dPt>
                  <c:idx val="51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09-E1EB-456A-BEBE-EF697796FB60}"/>
                    </c:ext>
                  </c:extLst>
                </c:dPt>
                <c:dPt>
                  <c:idx val="51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0B-E1EB-456A-BEBE-EF697796FB60}"/>
                    </c:ext>
                  </c:extLst>
                </c:dPt>
                <c:dPt>
                  <c:idx val="51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0D-E1EB-456A-BEBE-EF697796FB60}"/>
                    </c:ext>
                  </c:extLst>
                </c:dPt>
                <c:dPt>
                  <c:idx val="51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0F-E1EB-456A-BEBE-EF697796FB60}"/>
                    </c:ext>
                  </c:extLst>
                </c:dPt>
                <c:dPt>
                  <c:idx val="51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11-E1EB-456A-BEBE-EF697796FB60}"/>
                    </c:ext>
                  </c:extLst>
                </c:dPt>
                <c:dPt>
                  <c:idx val="51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13-E1EB-456A-BEBE-EF697796FB60}"/>
                    </c:ext>
                  </c:extLst>
                </c:dPt>
                <c:dPt>
                  <c:idx val="51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15-E1EB-456A-BEBE-EF697796FB60}"/>
                    </c:ext>
                  </c:extLst>
                </c:dPt>
                <c:dPt>
                  <c:idx val="51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17-E1EB-456A-BEBE-EF697796FB60}"/>
                    </c:ext>
                  </c:extLst>
                </c:dPt>
                <c:dPt>
                  <c:idx val="51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19-E1EB-456A-BEBE-EF697796FB60}"/>
                    </c:ext>
                  </c:extLst>
                </c:dPt>
                <c:dPt>
                  <c:idx val="51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1B-E1EB-456A-BEBE-EF697796FB60}"/>
                    </c:ext>
                  </c:extLst>
                </c:dPt>
                <c:dPt>
                  <c:idx val="52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1D-E1EB-456A-BEBE-EF697796FB60}"/>
                    </c:ext>
                  </c:extLst>
                </c:dPt>
                <c:dPt>
                  <c:idx val="52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1F-E1EB-456A-BEBE-EF697796FB60}"/>
                    </c:ext>
                  </c:extLst>
                </c:dPt>
                <c:dPt>
                  <c:idx val="52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21-E1EB-456A-BEBE-EF697796FB60}"/>
                    </c:ext>
                  </c:extLst>
                </c:dPt>
                <c:dPt>
                  <c:idx val="52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23-E1EB-456A-BEBE-EF697796FB60}"/>
                    </c:ext>
                  </c:extLst>
                </c:dPt>
                <c:dPt>
                  <c:idx val="52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25-E1EB-456A-BEBE-EF697796FB60}"/>
                    </c:ext>
                  </c:extLst>
                </c:dPt>
                <c:dPt>
                  <c:idx val="52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27-E1EB-456A-BEBE-EF697796FB60}"/>
                    </c:ext>
                  </c:extLst>
                </c:dPt>
                <c:dPt>
                  <c:idx val="52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29-E1EB-456A-BEBE-EF697796FB60}"/>
                    </c:ext>
                  </c:extLst>
                </c:dPt>
                <c:dPt>
                  <c:idx val="52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2B-E1EB-456A-BEBE-EF697796FB60}"/>
                    </c:ext>
                  </c:extLst>
                </c:dPt>
                <c:dPt>
                  <c:idx val="52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2D-E1EB-456A-BEBE-EF697796FB60}"/>
                    </c:ext>
                  </c:extLst>
                </c:dPt>
                <c:dPt>
                  <c:idx val="52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2F-E1EB-456A-BEBE-EF697796FB60}"/>
                    </c:ext>
                  </c:extLst>
                </c:dPt>
                <c:dPt>
                  <c:idx val="53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31-E1EB-456A-BEBE-EF697796FB60}"/>
                    </c:ext>
                  </c:extLst>
                </c:dPt>
                <c:dPt>
                  <c:idx val="53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33-E1EB-456A-BEBE-EF697796FB60}"/>
                    </c:ext>
                  </c:extLst>
                </c:dPt>
                <c:dPt>
                  <c:idx val="53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35-E1EB-456A-BEBE-EF697796FB60}"/>
                    </c:ext>
                  </c:extLst>
                </c:dPt>
                <c:dPt>
                  <c:idx val="53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37-E1EB-456A-BEBE-EF697796FB60}"/>
                    </c:ext>
                  </c:extLst>
                </c:dPt>
                <c:dPt>
                  <c:idx val="53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39-E1EB-456A-BEBE-EF697796FB60}"/>
                    </c:ext>
                  </c:extLst>
                </c:dPt>
                <c:dPt>
                  <c:idx val="53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3B-E1EB-456A-BEBE-EF697796FB60}"/>
                    </c:ext>
                  </c:extLst>
                </c:dPt>
                <c:dPt>
                  <c:idx val="53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3D-E1EB-456A-BEBE-EF697796FB60}"/>
                    </c:ext>
                  </c:extLst>
                </c:dPt>
                <c:dPt>
                  <c:idx val="53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3F-E1EB-456A-BEBE-EF697796FB60}"/>
                    </c:ext>
                  </c:extLst>
                </c:dPt>
                <c:dPt>
                  <c:idx val="53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41-E1EB-456A-BEBE-EF697796FB60}"/>
                    </c:ext>
                  </c:extLst>
                </c:dPt>
                <c:dPt>
                  <c:idx val="53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43-E1EB-456A-BEBE-EF697796FB60}"/>
                    </c:ext>
                  </c:extLst>
                </c:dPt>
                <c:dPt>
                  <c:idx val="54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45-E1EB-456A-BEBE-EF697796FB60}"/>
                    </c:ext>
                  </c:extLst>
                </c:dPt>
                <c:dPt>
                  <c:idx val="54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47-E1EB-456A-BEBE-EF697796FB60}"/>
                    </c:ext>
                  </c:extLst>
                </c:dPt>
                <c:dPt>
                  <c:idx val="54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49-E1EB-456A-BEBE-EF697796FB60}"/>
                    </c:ext>
                  </c:extLst>
                </c:dPt>
                <c:dPt>
                  <c:idx val="54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4B-E1EB-456A-BEBE-EF697796FB60}"/>
                    </c:ext>
                  </c:extLst>
                </c:dPt>
                <c:dPt>
                  <c:idx val="54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4D-E1EB-456A-BEBE-EF697796FB60}"/>
                    </c:ext>
                  </c:extLst>
                </c:dPt>
                <c:dPt>
                  <c:idx val="54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4F-E1EB-456A-BEBE-EF697796FB60}"/>
                    </c:ext>
                  </c:extLst>
                </c:dPt>
                <c:dPt>
                  <c:idx val="54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51-E1EB-456A-BEBE-EF697796FB60}"/>
                    </c:ext>
                  </c:extLst>
                </c:dPt>
                <c:dPt>
                  <c:idx val="54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53-E1EB-456A-BEBE-EF697796FB60}"/>
                    </c:ext>
                  </c:extLst>
                </c:dPt>
                <c:dPt>
                  <c:idx val="54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55-E1EB-456A-BEBE-EF697796FB60}"/>
                    </c:ext>
                  </c:extLst>
                </c:dPt>
                <c:dPt>
                  <c:idx val="54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57-E1EB-456A-BEBE-EF697796FB60}"/>
                    </c:ext>
                  </c:extLst>
                </c:dPt>
                <c:dPt>
                  <c:idx val="55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59-E1EB-456A-BEBE-EF697796FB60}"/>
                    </c:ext>
                  </c:extLst>
                </c:dPt>
                <c:dPt>
                  <c:idx val="55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5B-E1EB-456A-BEBE-EF697796FB60}"/>
                    </c:ext>
                  </c:extLst>
                </c:dPt>
                <c:dPt>
                  <c:idx val="55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5D-E1EB-456A-BEBE-EF697796FB60}"/>
                    </c:ext>
                  </c:extLst>
                </c:dPt>
                <c:dPt>
                  <c:idx val="55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5F-E1EB-456A-BEBE-EF697796FB60}"/>
                    </c:ext>
                  </c:extLst>
                </c:dPt>
                <c:dPt>
                  <c:idx val="55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61-E1EB-456A-BEBE-EF697796FB60}"/>
                    </c:ext>
                  </c:extLst>
                </c:dPt>
                <c:dPt>
                  <c:idx val="55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63-E1EB-456A-BEBE-EF697796FB60}"/>
                    </c:ext>
                  </c:extLst>
                </c:dPt>
                <c:dPt>
                  <c:idx val="55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65-E1EB-456A-BEBE-EF697796FB60}"/>
                    </c:ext>
                  </c:extLst>
                </c:dPt>
                <c:dPt>
                  <c:idx val="55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67-E1EB-456A-BEBE-EF697796FB60}"/>
                    </c:ext>
                  </c:extLst>
                </c:dPt>
                <c:dPt>
                  <c:idx val="55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69-E1EB-456A-BEBE-EF697796FB60}"/>
                    </c:ext>
                  </c:extLst>
                </c:dPt>
                <c:dPt>
                  <c:idx val="55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6B-E1EB-456A-BEBE-EF697796FB60}"/>
                    </c:ext>
                  </c:extLst>
                </c:dPt>
                <c:dPt>
                  <c:idx val="56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6D-E1EB-456A-BEBE-EF697796FB60}"/>
                    </c:ext>
                  </c:extLst>
                </c:dPt>
                <c:dPt>
                  <c:idx val="56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6F-E1EB-456A-BEBE-EF697796FB60}"/>
                    </c:ext>
                  </c:extLst>
                </c:dPt>
                <c:dPt>
                  <c:idx val="56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71-E1EB-456A-BEBE-EF697796FB60}"/>
                    </c:ext>
                  </c:extLst>
                </c:dPt>
                <c:dPt>
                  <c:idx val="56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73-E1EB-456A-BEBE-EF697796FB60}"/>
                    </c:ext>
                  </c:extLst>
                </c:dPt>
                <c:dPt>
                  <c:idx val="56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75-E1EB-456A-BEBE-EF697796FB60}"/>
                    </c:ext>
                  </c:extLst>
                </c:dPt>
                <c:dPt>
                  <c:idx val="56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77-E1EB-456A-BEBE-EF697796FB60}"/>
                    </c:ext>
                  </c:extLst>
                </c:dPt>
                <c:dPt>
                  <c:idx val="56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79-E1EB-456A-BEBE-EF697796FB60}"/>
                    </c:ext>
                  </c:extLst>
                </c:dPt>
                <c:dPt>
                  <c:idx val="56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7B-E1EB-456A-BEBE-EF697796FB60}"/>
                    </c:ext>
                  </c:extLst>
                </c:dPt>
                <c:dPt>
                  <c:idx val="56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7D-E1EB-456A-BEBE-EF697796FB60}"/>
                    </c:ext>
                  </c:extLst>
                </c:dPt>
                <c:dPt>
                  <c:idx val="56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7F-E1EB-456A-BEBE-EF697796FB60}"/>
                    </c:ext>
                  </c:extLst>
                </c:dPt>
                <c:dPt>
                  <c:idx val="57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81-E1EB-456A-BEBE-EF697796FB60}"/>
                    </c:ext>
                  </c:extLst>
                </c:dPt>
                <c:dPt>
                  <c:idx val="57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83-E1EB-456A-BEBE-EF697796FB60}"/>
                    </c:ext>
                  </c:extLst>
                </c:dPt>
                <c:dPt>
                  <c:idx val="57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85-E1EB-456A-BEBE-EF697796FB60}"/>
                    </c:ext>
                  </c:extLst>
                </c:dPt>
                <c:dPt>
                  <c:idx val="57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87-E1EB-456A-BEBE-EF697796FB60}"/>
                    </c:ext>
                  </c:extLst>
                </c:dPt>
                <c:dPt>
                  <c:idx val="57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89-E1EB-456A-BEBE-EF697796FB60}"/>
                    </c:ext>
                  </c:extLst>
                </c:dPt>
                <c:dPt>
                  <c:idx val="57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8B-E1EB-456A-BEBE-EF697796FB60}"/>
                    </c:ext>
                  </c:extLst>
                </c:dPt>
                <c:dPt>
                  <c:idx val="57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8D-E1EB-456A-BEBE-EF697796FB60}"/>
                    </c:ext>
                  </c:extLst>
                </c:dPt>
                <c:dPt>
                  <c:idx val="57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8F-E1EB-456A-BEBE-EF697796FB60}"/>
                    </c:ext>
                  </c:extLst>
                </c:dPt>
                <c:dPt>
                  <c:idx val="57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91-E1EB-456A-BEBE-EF697796FB60}"/>
                    </c:ext>
                  </c:extLst>
                </c:dPt>
                <c:dPt>
                  <c:idx val="57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93-E1EB-456A-BEBE-EF697796FB60}"/>
                    </c:ext>
                  </c:extLst>
                </c:dPt>
                <c:dPt>
                  <c:idx val="58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95-E1EB-456A-BEBE-EF697796FB60}"/>
                    </c:ext>
                  </c:extLst>
                </c:dPt>
                <c:dPt>
                  <c:idx val="58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97-E1EB-456A-BEBE-EF697796FB60}"/>
                    </c:ext>
                  </c:extLst>
                </c:dPt>
                <c:dPt>
                  <c:idx val="58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99-E1EB-456A-BEBE-EF697796FB60}"/>
                    </c:ext>
                  </c:extLst>
                </c:dPt>
                <c:dPt>
                  <c:idx val="58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9B-E1EB-456A-BEBE-EF697796FB60}"/>
                    </c:ext>
                  </c:extLst>
                </c:dPt>
                <c:dPt>
                  <c:idx val="58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9D-E1EB-456A-BEBE-EF697796FB60}"/>
                    </c:ext>
                  </c:extLst>
                </c:dPt>
                <c:dPt>
                  <c:idx val="58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9F-E1EB-456A-BEBE-EF697796FB60}"/>
                    </c:ext>
                  </c:extLst>
                </c:dPt>
                <c:dPt>
                  <c:idx val="58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A1-E1EB-456A-BEBE-EF697796FB60}"/>
                    </c:ext>
                  </c:extLst>
                </c:dPt>
                <c:dPt>
                  <c:idx val="58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A3-E1EB-456A-BEBE-EF697796FB60}"/>
                    </c:ext>
                  </c:extLst>
                </c:dPt>
                <c:dPt>
                  <c:idx val="58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A5-E1EB-456A-BEBE-EF697796FB60}"/>
                    </c:ext>
                  </c:extLst>
                </c:dPt>
                <c:dPt>
                  <c:idx val="58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A7-E1EB-456A-BEBE-EF697796FB60}"/>
                    </c:ext>
                  </c:extLst>
                </c:dPt>
                <c:dPt>
                  <c:idx val="59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A9-E1EB-456A-BEBE-EF697796FB60}"/>
                    </c:ext>
                  </c:extLst>
                </c:dPt>
                <c:dPt>
                  <c:idx val="59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AB-E1EB-456A-BEBE-EF697796FB60}"/>
                    </c:ext>
                  </c:extLst>
                </c:dPt>
                <c:dPt>
                  <c:idx val="59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AD-E1EB-456A-BEBE-EF697796FB60}"/>
                    </c:ext>
                  </c:extLst>
                </c:dPt>
                <c:dPt>
                  <c:idx val="59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AF-E1EB-456A-BEBE-EF697796FB60}"/>
                    </c:ext>
                  </c:extLst>
                </c:dPt>
                <c:dPt>
                  <c:idx val="59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B1-E1EB-456A-BEBE-EF697796FB60}"/>
                    </c:ext>
                  </c:extLst>
                </c:dPt>
                <c:dPt>
                  <c:idx val="59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B3-E1EB-456A-BEBE-EF697796FB60}"/>
                    </c:ext>
                  </c:extLst>
                </c:dPt>
                <c:dPt>
                  <c:idx val="59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B5-E1EB-456A-BEBE-EF697796FB60}"/>
                    </c:ext>
                  </c:extLst>
                </c:dPt>
                <c:dPt>
                  <c:idx val="59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B7-E1EB-456A-BEBE-EF697796FB60}"/>
                    </c:ext>
                  </c:extLst>
                </c:dPt>
                <c:dPt>
                  <c:idx val="59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B9-E1EB-456A-BEBE-EF697796FB60}"/>
                    </c:ext>
                  </c:extLst>
                </c:dPt>
                <c:dPt>
                  <c:idx val="59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BB-E1EB-456A-BEBE-EF697796FB60}"/>
                    </c:ext>
                  </c:extLst>
                </c:dPt>
                <c:dPt>
                  <c:idx val="60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BD-E1EB-456A-BEBE-EF697796FB60}"/>
                    </c:ext>
                  </c:extLst>
                </c:dPt>
                <c:dPt>
                  <c:idx val="60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BF-E1EB-456A-BEBE-EF697796FB60}"/>
                    </c:ext>
                  </c:extLst>
                </c:dPt>
                <c:dPt>
                  <c:idx val="60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C1-E1EB-456A-BEBE-EF697796FB60}"/>
                    </c:ext>
                  </c:extLst>
                </c:dPt>
                <c:dPt>
                  <c:idx val="60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C3-E1EB-456A-BEBE-EF697796FB60}"/>
                    </c:ext>
                  </c:extLst>
                </c:dPt>
                <c:dPt>
                  <c:idx val="60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C5-E1EB-456A-BEBE-EF697796FB60}"/>
                    </c:ext>
                  </c:extLst>
                </c:dPt>
                <c:dPt>
                  <c:idx val="60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C7-E1EB-456A-BEBE-EF697796FB60}"/>
                    </c:ext>
                  </c:extLst>
                </c:dPt>
                <c:dPt>
                  <c:idx val="60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C9-E1EB-456A-BEBE-EF697796FB60}"/>
                    </c:ext>
                  </c:extLst>
                </c:dPt>
                <c:dPt>
                  <c:idx val="60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CB-E1EB-456A-BEBE-EF697796FB60}"/>
                    </c:ext>
                  </c:extLst>
                </c:dPt>
                <c:dPt>
                  <c:idx val="60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CD-E1EB-456A-BEBE-EF697796FB60}"/>
                    </c:ext>
                  </c:extLst>
                </c:dPt>
                <c:dPt>
                  <c:idx val="60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CF-E1EB-456A-BEBE-EF697796FB60}"/>
                    </c:ext>
                  </c:extLst>
                </c:dPt>
                <c:dPt>
                  <c:idx val="61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D1-E1EB-456A-BEBE-EF697796FB60}"/>
                    </c:ext>
                  </c:extLst>
                </c:dPt>
                <c:dPt>
                  <c:idx val="61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D3-E1EB-456A-BEBE-EF697796FB60}"/>
                    </c:ext>
                  </c:extLst>
                </c:dPt>
                <c:dPt>
                  <c:idx val="61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D5-E1EB-456A-BEBE-EF697796FB60}"/>
                    </c:ext>
                  </c:extLst>
                </c:dPt>
                <c:dPt>
                  <c:idx val="61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D7-E1EB-456A-BEBE-EF697796FB60}"/>
                    </c:ext>
                  </c:extLst>
                </c:dPt>
                <c:dPt>
                  <c:idx val="61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D9-E1EB-456A-BEBE-EF697796FB60}"/>
                    </c:ext>
                  </c:extLst>
                </c:dPt>
                <c:dPt>
                  <c:idx val="61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DB-E1EB-456A-BEBE-EF697796FB60}"/>
                    </c:ext>
                  </c:extLst>
                </c:dPt>
                <c:dPt>
                  <c:idx val="61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DD-E1EB-456A-BEBE-EF697796FB60}"/>
                    </c:ext>
                  </c:extLst>
                </c:dPt>
                <c:dPt>
                  <c:idx val="61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DF-E1EB-456A-BEBE-EF697796FB60}"/>
                    </c:ext>
                  </c:extLst>
                </c:dPt>
                <c:dPt>
                  <c:idx val="61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E1-E1EB-456A-BEBE-EF697796FB60}"/>
                    </c:ext>
                  </c:extLst>
                </c:dPt>
                <c:dPt>
                  <c:idx val="61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E3-E1EB-456A-BEBE-EF697796FB60}"/>
                    </c:ext>
                  </c:extLst>
                </c:dPt>
                <c:dPt>
                  <c:idx val="62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E5-E1EB-456A-BEBE-EF697796FB60}"/>
                    </c:ext>
                  </c:extLst>
                </c:dPt>
                <c:dPt>
                  <c:idx val="62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E7-E1EB-456A-BEBE-EF697796FB60}"/>
                    </c:ext>
                  </c:extLst>
                </c:dPt>
                <c:dPt>
                  <c:idx val="62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E9-E1EB-456A-BEBE-EF697796FB60}"/>
                    </c:ext>
                  </c:extLst>
                </c:dPt>
                <c:dPt>
                  <c:idx val="62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EB-E1EB-456A-BEBE-EF697796FB60}"/>
                    </c:ext>
                  </c:extLst>
                </c:dPt>
                <c:dPt>
                  <c:idx val="62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ED-E1EB-456A-BEBE-EF697796FB60}"/>
                    </c:ext>
                  </c:extLst>
                </c:dPt>
                <c:dPt>
                  <c:idx val="62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EF-E1EB-456A-BEBE-EF697796FB60}"/>
                    </c:ext>
                  </c:extLst>
                </c:dPt>
                <c:dPt>
                  <c:idx val="62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F1-E1EB-456A-BEBE-EF697796FB60}"/>
                    </c:ext>
                  </c:extLst>
                </c:dPt>
                <c:dPt>
                  <c:idx val="62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F3-E1EB-456A-BEBE-EF697796FB60}"/>
                    </c:ext>
                  </c:extLst>
                </c:dPt>
                <c:dPt>
                  <c:idx val="62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F5-E1EB-456A-BEBE-EF697796FB60}"/>
                    </c:ext>
                  </c:extLst>
                </c:dPt>
                <c:dPt>
                  <c:idx val="62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F7-E1EB-456A-BEBE-EF697796FB60}"/>
                    </c:ext>
                  </c:extLst>
                </c:dPt>
                <c:dPt>
                  <c:idx val="63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F9-E1EB-456A-BEBE-EF697796FB60}"/>
                    </c:ext>
                  </c:extLst>
                </c:dPt>
                <c:dPt>
                  <c:idx val="63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FB-E1EB-456A-BEBE-EF697796FB60}"/>
                    </c:ext>
                  </c:extLst>
                </c:dPt>
                <c:dPt>
                  <c:idx val="63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FD-E1EB-456A-BEBE-EF697796FB60}"/>
                    </c:ext>
                  </c:extLst>
                </c:dPt>
                <c:dPt>
                  <c:idx val="63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FF-E1EB-456A-BEBE-EF697796FB60}"/>
                    </c:ext>
                  </c:extLst>
                </c:dPt>
                <c:dPt>
                  <c:idx val="63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01-E1EB-456A-BEBE-EF697796FB60}"/>
                    </c:ext>
                  </c:extLst>
                </c:dPt>
                <c:dPt>
                  <c:idx val="63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03-E1EB-456A-BEBE-EF697796FB60}"/>
                    </c:ext>
                  </c:extLst>
                </c:dPt>
                <c:dPt>
                  <c:idx val="63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05-E1EB-456A-BEBE-EF697796FB60}"/>
                    </c:ext>
                  </c:extLst>
                </c:dPt>
                <c:dPt>
                  <c:idx val="63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07-E1EB-456A-BEBE-EF697796FB60}"/>
                    </c:ext>
                  </c:extLst>
                </c:dPt>
                <c:dPt>
                  <c:idx val="63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09-E1EB-456A-BEBE-EF697796FB60}"/>
                    </c:ext>
                  </c:extLst>
                </c:dPt>
                <c:dPt>
                  <c:idx val="63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0B-E1EB-456A-BEBE-EF697796FB60}"/>
                    </c:ext>
                  </c:extLst>
                </c:dPt>
                <c:dPt>
                  <c:idx val="64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0D-E1EB-456A-BEBE-EF697796FB60}"/>
                    </c:ext>
                  </c:extLst>
                </c:dPt>
                <c:dPt>
                  <c:idx val="64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0F-E1EB-456A-BEBE-EF697796FB60}"/>
                    </c:ext>
                  </c:extLst>
                </c:dPt>
                <c:dPt>
                  <c:idx val="64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11-E1EB-456A-BEBE-EF697796FB60}"/>
                    </c:ext>
                  </c:extLst>
                </c:dPt>
                <c:dPt>
                  <c:idx val="64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13-E1EB-456A-BEBE-EF697796FB60}"/>
                    </c:ext>
                  </c:extLst>
                </c:dPt>
                <c:dPt>
                  <c:idx val="64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15-E1EB-456A-BEBE-EF697796FB60}"/>
                    </c:ext>
                  </c:extLst>
                </c:dPt>
                <c:dPt>
                  <c:idx val="64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17-E1EB-456A-BEBE-EF697796FB60}"/>
                    </c:ext>
                  </c:extLst>
                </c:dPt>
                <c:dPt>
                  <c:idx val="64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19-E1EB-456A-BEBE-EF697796FB60}"/>
                    </c:ext>
                  </c:extLst>
                </c:dPt>
                <c:dPt>
                  <c:idx val="64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1B-E1EB-456A-BEBE-EF697796FB60}"/>
                    </c:ext>
                  </c:extLst>
                </c:dPt>
                <c:dPt>
                  <c:idx val="64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1D-E1EB-456A-BEBE-EF697796FB60}"/>
                    </c:ext>
                  </c:extLst>
                </c:dPt>
                <c:dPt>
                  <c:idx val="64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1F-E1EB-456A-BEBE-EF697796FB60}"/>
                    </c:ext>
                  </c:extLst>
                </c:dPt>
                <c:dPt>
                  <c:idx val="65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21-E1EB-456A-BEBE-EF697796FB60}"/>
                    </c:ext>
                  </c:extLst>
                </c:dPt>
                <c:dPt>
                  <c:idx val="65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23-E1EB-456A-BEBE-EF697796FB60}"/>
                    </c:ext>
                  </c:extLst>
                </c:dPt>
                <c:dPt>
                  <c:idx val="65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25-E1EB-456A-BEBE-EF697796FB60}"/>
                    </c:ext>
                  </c:extLst>
                </c:dPt>
                <c:dPt>
                  <c:idx val="65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27-E1EB-456A-BEBE-EF697796FB60}"/>
                    </c:ext>
                  </c:extLst>
                </c:dPt>
                <c:dPt>
                  <c:idx val="65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29-E1EB-456A-BEBE-EF697796FB60}"/>
                    </c:ext>
                  </c:extLst>
                </c:dPt>
                <c:dPt>
                  <c:idx val="65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2B-E1EB-456A-BEBE-EF697796FB60}"/>
                    </c:ext>
                  </c:extLst>
                </c:dPt>
                <c:dPt>
                  <c:idx val="65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2D-E1EB-456A-BEBE-EF697796FB60}"/>
                    </c:ext>
                  </c:extLst>
                </c:dPt>
                <c:dPt>
                  <c:idx val="65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2F-E1EB-456A-BEBE-EF697796FB60}"/>
                    </c:ext>
                  </c:extLst>
                </c:dPt>
                <c:dPt>
                  <c:idx val="65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31-E1EB-456A-BEBE-EF697796FB60}"/>
                    </c:ext>
                  </c:extLst>
                </c:dPt>
                <c:dPt>
                  <c:idx val="65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33-E1EB-456A-BEBE-EF697796FB60}"/>
                    </c:ext>
                  </c:extLst>
                </c:dPt>
                <c:dPt>
                  <c:idx val="66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35-E1EB-456A-BEBE-EF697796FB60}"/>
                    </c:ext>
                  </c:extLst>
                </c:dPt>
                <c:dPt>
                  <c:idx val="66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37-E1EB-456A-BEBE-EF697796FB60}"/>
                    </c:ext>
                  </c:extLst>
                </c:dPt>
                <c:dPt>
                  <c:idx val="66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39-E1EB-456A-BEBE-EF697796FB60}"/>
                    </c:ext>
                  </c:extLst>
                </c:dPt>
                <c:dPt>
                  <c:idx val="66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3B-E1EB-456A-BEBE-EF697796FB60}"/>
                    </c:ext>
                  </c:extLst>
                </c:dPt>
                <c:dPt>
                  <c:idx val="66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3D-E1EB-456A-BEBE-EF697796FB60}"/>
                    </c:ext>
                  </c:extLst>
                </c:dPt>
                <c:dPt>
                  <c:idx val="66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3F-E1EB-456A-BEBE-EF697796FB60}"/>
                    </c:ext>
                  </c:extLst>
                </c:dPt>
                <c:dPt>
                  <c:idx val="66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41-E1EB-456A-BEBE-EF697796FB60}"/>
                    </c:ext>
                  </c:extLst>
                </c:dPt>
                <c:dPt>
                  <c:idx val="66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43-E1EB-456A-BEBE-EF697796FB60}"/>
                    </c:ext>
                  </c:extLst>
                </c:dPt>
                <c:dPt>
                  <c:idx val="66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45-E1EB-456A-BEBE-EF697796FB60}"/>
                    </c:ext>
                  </c:extLst>
                </c:dPt>
                <c:dPt>
                  <c:idx val="66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47-E1EB-456A-BEBE-EF697796FB60}"/>
                    </c:ext>
                  </c:extLst>
                </c:dPt>
                <c:dPt>
                  <c:idx val="67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49-E1EB-456A-BEBE-EF697796FB60}"/>
                    </c:ext>
                  </c:extLst>
                </c:dPt>
                <c:dPt>
                  <c:idx val="67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4B-E1EB-456A-BEBE-EF697796FB60}"/>
                    </c:ext>
                  </c:extLst>
                </c:dPt>
                <c:dPt>
                  <c:idx val="67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4D-E1EB-456A-BEBE-EF697796FB60}"/>
                    </c:ext>
                  </c:extLst>
                </c:dPt>
                <c:dPt>
                  <c:idx val="67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4F-E1EB-456A-BEBE-EF697796FB60}"/>
                    </c:ext>
                  </c:extLst>
                </c:dPt>
                <c:dPt>
                  <c:idx val="67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51-E1EB-456A-BEBE-EF697796FB60}"/>
                    </c:ext>
                  </c:extLst>
                </c:dPt>
                <c:dPt>
                  <c:idx val="67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53-E1EB-456A-BEBE-EF697796FB60}"/>
                    </c:ext>
                  </c:extLst>
                </c:dPt>
                <c:dPt>
                  <c:idx val="67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55-E1EB-456A-BEBE-EF697796FB60}"/>
                    </c:ext>
                  </c:extLst>
                </c:dPt>
                <c:dPt>
                  <c:idx val="67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57-E1EB-456A-BEBE-EF697796FB60}"/>
                    </c:ext>
                  </c:extLst>
                </c:dPt>
                <c:dPt>
                  <c:idx val="67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59-E1EB-456A-BEBE-EF697796FB60}"/>
                    </c:ext>
                  </c:extLst>
                </c:dPt>
                <c:dPt>
                  <c:idx val="67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5B-E1EB-456A-BEBE-EF697796FB60}"/>
                    </c:ext>
                  </c:extLst>
                </c:dPt>
                <c:dPt>
                  <c:idx val="68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5D-E1EB-456A-BEBE-EF697796FB60}"/>
                    </c:ext>
                  </c:extLst>
                </c:dPt>
                <c:dPt>
                  <c:idx val="68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5F-E1EB-456A-BEBE-EF697796FB60}"/>
                    </c:ext>
                  </c:extLst>
                </c:dPt>
                <c:dPt>
                  <c:idx val="68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61-E1EB-456A-BEBE-EF697796FB60}"/>
                    </c:ext>
                  </c:extLst>
                </c:dPt>
                <c:dPt>
                  <c:idx val="68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63-E1EB-456A-BEBE-EF697796FB60}"/>
                    </c:ext>
                  </c:extLst>
                </c:dPt>
                <c:dPt>
                  <c:idx val="68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65-E1EB-456A-BEBE-EF697796FB60}"/>
                    </c:ext>
                  </c:extLst>
                </c:dPt>
                <c:dPt>
                  <c:idx val="68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67-E1EB-456A-BEBE-EF697796FB60}"/>
                    </c:ext>
                  </c:extLst>
                </c:dPt>
                <c:dPt>
                  <c:idx val="68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69-E1EB-456A-BEBE-EF697796FB60}"/>
                    </c:ext>
                  </c:extLst>
                </c:dPt>
                <c:dPt>
                  <c:idx val="68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6B-E1EB-456A-BEBE-EF697796FB60}"/>
                    </c:ext>
                  </c:extLst>
                </c:dPt>
                <c:dPt>
                  <c:idx val="68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6D-E1EB-456A-BEBE-EF697796FB60}"/>
                    </c:ext>
                  </c:extLst>
                </c:dPt>
                <c:dPt>
                  <c:idx val="68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6F-E1EB-456A-BEBE-EF697796FB60}"/>
                    </c:ext>
                  </c:extLst>
                </c:dPt>
                <c:dPt>
                  <c:idx val="69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71-E1EB-456A-BEBE-EF697796FB60}"/>
                    </c:ext>
                  </c:extLst>
                </c:dPt>
                <c:dPt>
                  <c:idx val="69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73-E1EB-456A-BEBE-EF697796FB60}"/>
                    </c:ext>
                  </c:extLst>
                </c:dPt>
                <c:dPt>
                  <c:idx val="69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75-E1EB-456A-BEBE-EF697796FB60}"/>
                    </c:ext>
                  </c:extLst>
                </c:dPt>
                <c:dPt>
                  <c:idx val="69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77-E1EB-456A-BEBE-EF697796FB60}"/>
                    </c:ext>
                  </c:extLst>
                </c:dPt>
                <c:dPt>
                  <c:idx val="69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79-E1EB-456A-BEBE-EF697796FB60}"/>
                    </c:ext>
                  </c:extLst>
                </c:dPt>
                <c:dPt>
                  <c:idx val="69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7B-E1EB-456A-BEBE-EF697796FB60}"/>
                    </c:ext>
                  </c:extLst>
                </c:dPt>
                <c:dPt>
                  <c:idx val="69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7D-E1EB-456A-BEBE-EF697796FB60}"/>
                    </c:ext>
                  </c:extLst>
                </c:dPt>
                <c:dPt>
                  <c:idx val="69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7F-E1EB-456A-BEBE-EF697796FB60}"/>
                    </c:ext>
                  </c:extLst>
                </c:dPt>
                <c:dPt>
                  <c:idx val="69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81-E1EB-456A-BEBE-EF697796FB60}"/>
                    </c:ext>
                  </c:extLst>
                </c:dPt>
                <c:dPt>
                  <c:idx val="69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83-E1EB-456A-BEBE-EF697796FB60}"/>
                    </c:ext>
                  </c:extLst>
                </c:dPt>
                <c:dPt>
                  <c:idx val="70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85-E1EB-456A-BEBE-EF697796FB60}"/>
                    </c:ext>
                  </c:extLst>
                </c:dPt>
                <c:dPt>
                  <c:idx val="70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87-E1EB-456A-BEBE-EF697796FB60}"/>
                    </c:ext>
                  </c:extLst>
                </c:dPt>
                <c:dPt>
                  <c:idx val="70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89-E1EB-456A-BEBE-EF697796FB60}"/>
                    </c:ext>
                  </c:extLst>
                </c:dPt>
                <c:dPt>
                  <c:idx val="70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8B-E1EB-456A-BEBE-EF697796FB60}"/>
                    </c:ext>
                  </c:extLst>
                </c:dPt>
                <c:dPt>
                  <c:idx val="70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8D-E1EB-456A-BEBE-EF697796FB60}"/>
                    </c:ext>
                  </c:extLst>
                </c:dPt>
                <c:dPt>
                  <c:idx val="70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8F-E1EB-456A-BEBE-EF697796FB60}"/>
                    </c:ext>
                  </c:extLst>
                </c:dPt>
                <c:dPt>
                  <c:idx val="70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91-E1EB-456A-BEBE-EF697796FB60}"/>
                    </c:ext>
                  </c:extLst>
                </c:dPt>
                <c:dPt>
                  <c:idx val="70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93-E1EB-456A-BEBE-EF697796FB60}"/>
                    </c:ext>
                  </c:extLst>
                </c:dPt>
                <c:dPt>
                  <c:idx val="70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95-E1EB-456A-BEBE-EF697796FB60}"/>
                    </c:ext>
                  </c:extLst>
                </c:dPt>
                <c:dPt>
                  <c:idx val="70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97-E1EB-456A-BEBE-EF697796FB60}"/>
                    </c:ext>
                  </c:extLst>
                </c:dPt>
                <c:dPt>
                  <c:idx val="71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99-E1EB-456A-BEBE-EF697796FB60}"/>
                    </c:ext>
                  </c:extLst>
                </c:dPt>
                <c:dPt>
                  <c:idx val="71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9B-E1EB-456A-BEBE-EF697796FB60}"/>
                    </c:ext>
                  </c:extLst>
                </c:dPt>
                <c:dPt>
                  <c:idx val="71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9D-E1EB-456A-BEBE-EF697796FB60}"/>
                    </c:ext>
                  </c:extLst>
                </c:dPt>
                <c:dPt>
                  <c:idx val="71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9F-E1EB-456A-BEBE-EF697796FB60}"/>
                    </c:ext>
                  </c:extLst>
                </c:dPt>
                <c:dPt>
                  <c:idx val="71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A1-E1EB-456A-BEBE-EF697796FB60}"/>
                    </c:ext>
                  </c:extLst>
                </c:dPt>
                <c:dPt>
                  <c:idx val="71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A3-E1EB-456A-BEBE-EF697796FB60}"/>
                    </c:ext>
                  </c:extLst>
                </c:dPt>
                <c:dPt>
                  <c:idx val="71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A5-E1EB-456A-BEBE-EF697796FB60}"/>
                    </c:ext>
                  </c:extLst>
                </c:dPt>
                <c:dPt>
                  <c:idx val="71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A7-E1EB-456A-BEBE-EF697796FB60}"/>
                    </c:ext>
                  </c:extLst>
                </c:dPt>
                <c:dPt>
                  <c:idx val="71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A9-E1EB-456A-BEBE-EF697796FB60}"/>
                    </c:ext>
                  </c:extLst>
                </c:dPt>
                <c:dPt>
                  <c:idx val="71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AB-E1EB-456A-BEBE-EF697796FB60}"/>
                    </c:ext>
                  </c:extLst>
                </c:dPt>
                <c:dPt>
                  <c:idx val="72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AD-E1EB-456A-BEBE-EF697796FB60}"/>
                    </c:ext>
                  </c:extLst>
                </c:dPt>
                <c:dPt>
                  <c:idx val="72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AF-E1EB-456A-BEBE-EF697796FB60}"/>
                    </c:ext>
                  </c:extLst>
                </c:dPt>
                <c:dPt>
                  <c:idx val="72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B1-E1EB-456A-BEBE-EF697796FB60}"/>
                    </c:ext>
                  </c:extLst>
                </c:dPt>
                <c:dPt>
                  <c:idx val="72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B3-E1EB-456A-BEBE-EF697796FB60}"/>
                    </c:ext>
                  </c:extLst>
                </c:dPt>
                <c:dPt>
                  <c:idx val="72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B5-E1EB-456A-BEBE-EF697796FB60}"/>
                    </c:ext>
                  </c:extLst>
                </c:dPt>
                <c:dPt>
                  <c:idx val="72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B7-E1EB-456A-BEBE-EF697796FB60}"/>
                    </c:ext>
                  </c:extLst>
                </c:dPt>
                <c:dPt>
                  <c:idx val="72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B9-E1EB-456A-BEBE-EF697796FB60}"/>
                    </c:ext>
                  </c:extLst>
                </c:dPt>
                <c:dPt>
                  <c:idx val="72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BB-E1EB-456A-BEBE-EF697796FB60}"/>
                    </c:ext>
                  </c:extLst>
                </c:dPt>
                <c:dPt>
                  <c:idx val="72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BD-E1EB-456A-BEBE-EF697796FB60}"/>
                    </c:ext>
                  </c:extLst>
                </c:dPt>
                <c:dPt>
                  <c:idx val="72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BF-E1EB-456A-BEBE-EF697796FB60}"/>
                    </c:ext>
                  </c:extLst>
                </c:dPt>
                <c:dPt>
                  <c:idx val="73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C1-E1EB-456A-BEBE-EF697796FB60}"/>
                    </c:ext>
                  </c:extLst>
                </c:dPt>
                <c:dPt>
                  <c:idx val="73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C3-E1EB-456A-BEBE-EF697796FB60}"/>
                    </c:ext>
                  </c:extLst>
                </c:dPt>
                <c:dPt>
                  <c:idx val="73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C5-E1EB-456A-BEBE-EF697796FB60}"/>
                    </c:ext>
                  </c:extLst>
                </c:dPt>
                <c:dPt>
                  <c:idx val="73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C7-E1EB-456A-BEBE-EF697796FB60}"/>
                    </c:ext>
                  </c:extLst>
                </c:dPt>
                <c:dPt>
                  <c:idx val="73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C9-E1EB-456A-BEBE-EF697796FB60}"/>
                    </c:ext>
                  </c:extLst>
                </c:dPt>
                <c:dPt>
                  <c:idx val="73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CB-E1EB-456A-BEBE-EF697796FB60}"/>
                    </c:ext>
                  </c:extLst>
                </c:dPt>
                <c:dPt>
                  <c:idx val="73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CD-E1EB-456A-BEBE-EF697796FB60}"/>
                    </c:ext>
                  </c:extLst>
                </c:dPt>
                <c:dPt>
                  <c:idx val="73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CF-E1EB-456A-BEBE-EF697796FB60}"/>
                    </c:ext>
                  </c:extLst>
                </c:dPt>
                <c:dPt>
                  <c:idx val="73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D1-E1EB-456A-BEBE-EF697796FB60}"/>
                    </c:ext>
                  </c:extLst>
                </c:dPt>
                <c:dPt>
                  <c:idx val="73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D3-E1EB-456A-BEBE-EF697796FB60}"/>
                    </c:ext>
                  </c:extLst>
                </c:dPt>
                <c:dPt>
                  <c:idx val="74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D5-E1EB-456A-BEBE-EF697796FB60}"/>
                    </c:ext>
                  </c:extLst>
                </c:dPt>
                <c:dPt>
                  <c:idx val="74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D7-E1EB-456A-BEBE-EF697796FB60}"/>
                    </c:ext>
                  </c:extLst>
                </c:dPt>
                <c:dPt>
                  <c:idx val="74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D9-E1EB-456A-BEBE-EF697796FB60}"/>
                    </c:ext>
                  </c:extLst>
                </c:dPt>
                <c:dPt>
                  <c:idx val="74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DB-E1EB-456A-BEBE-EF697796FB60}"/>
                    </c:ext>
                  </c:extLst>
                </c:dPt>
                <c:dPt>
                  <c:idx val="74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DD-E1EB-456A-BEBE-EF697796FB60}"/>
                    </c:ext>
                  </c:extLst>
                </c:dPt>
                <c:dPt>
                  <c:idx val="74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DF-E1EB-456A-BEBE-EF697796FB60}"/>
                    </c:ext>
                  </c:extLst>
                </c:dPt>
                <c:dPt>
                  <c:idx val="74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E1-E1EB-456A-BEBE-EF697796FB60}"/>
                    </c:ext>
                  </c:extLst>
                </c:dPt>
                <c:dPt>
                  <c:idx val="74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E3-E1EB-456A-BEBE-EF697796FB60}"/>
                    </c:ext>
                  </c:extLst>
                </c:dPt>
                <c:dPt>
                  <c:idx val="74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E5-E1EB-456A-BEBE-EF697796FB60}"/>
                    </c:ext>
                  </c:extLst>
                </c:dPt>
                <c:dPt>
                  <c:idx val="74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E7-E1EB-456A-BEBE-EF697796FB60}"/>
                    </c:ext>
                  </c:extLst>
                </c:dPt>
                <c:dPt>
                  <c:idx val="75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E9-E1EB-456A-BEBE-EF697796FB60}"/>
                    </c:ext>
                  </c:extLst>
                </c:dPt>
                <c:dPt>
                  <c:idx val="75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EB-E1EB-456A-BEBE-EF697796FB60}"/>
                    </c:ext>
                  </c:extLst>
                </c:dPt>
                <c:dPt>
                  <c:idx val="75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ED-E1EB-456A-BEBE-EF697796FB60}"/>
                    </c:ext>
                  </c:extLst>
                </c:dPt>
                <c:dPt>
                  <c:idx val="75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EF-E1EB-456A-BEBE-EF697796FB60}"/>
                    </c:ext>
                  </c:extLst>
                </c:dPt>
                <c:dPt>
                  <c:idx val="75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F1-E1EB-456A-BEBE-EF697796FB60}"/>
                    </c:ext>
                  </c:extLst>
                </c:dPt>
                <c:dPt>
                  <c:idx val="75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F3-E1EB-456A-BEBE-EF697796FB60}"/>
                    </c:ext>
                  </c:extLst>
                </c:dPt>
                <c:dPt>
                  <c:idx val="75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F5-E1EB-456A-BEBE-EF697796FB60}"/>
                    </c:ext>
                  </c:extLst>
                </c:dPt>
                <c:dPt>
                  <c:idx val="75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F7-E1EB-456A-BEBE-EF697796FB60}"/>
                    </c:ext>
                  </c:extLst>
                </c:dPt>
                <c:dPt>
                  <c:idx val="75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F9-E1EB-456A-BEBE-EF697796FB60}"/>
                    </c:ext>
                  </c:extLst>
                </c:dPt>
                <c:dPt>
                  <c:idx val="75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FB-E1EB-456A-BEBE-EF697796FB60}"/>
                    </c:ext>
                  </c:extLst>
                </c:dPt>
                <c:dPt>
                  <c:idx val="76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FD-E1EB-456A-BEBE-EF697796FB60}"/>
                    </c:ext>
                  </c:extLst>
                </c:dPt>
                <c:dPt>
                  <c:idx val="76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FF-E1EB-456A-BEBE-EF697796FB60}"/>
                    </c:ext>
                  </c:extLst>
                </c:dPt>
                <c:dPt>
                  <c:idx val="76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01-E1EB-456A-BEBE-EF697796FB60}"/>
                    </c:ext>
                  </c:extLst>
                </c:dPt>
                <c:dPt>
                  <c:idx val="76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03-E1EB-456A-BEBE-EF697796FB60}"/>
                    </c:ext>
                  </c:extLst>
                </c:dPt>
                <c:dPt>
                  <c:idx val="76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05-E1EB-456A-BEBE-EF697796FB60}"/>
                    </c:ext>
                  </c:extLst>
                </c:dPt>
                <c:dPt>
                  <c:idx val="76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07-E1EB-456A-BEBE-EF697796FB60}"/>
                    </c:ext>
                  </c:extLst>
                </c:dPt>
                <c:dPt>
                  <c:idx val="76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09-E1EB-456A-BEBE-EF697796FB60}"/>
                    </c:ext>
                  </c:extLst>
                </c:dPt>
                <c:dPt>
                  <c:idx val="76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0B-E1EB-456A-BEBE-EF697796FB60}"/>
                    </c:ext>
                  </c:extLst>
                </c:dPt>
                <c:dPt>
                  <c:idx val="76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0D-E1EB-456A-BEBE-EF697796FB60}"/>
                    </c:ext>
                  </c:extLst>
                </c:dPt>
                <c:dPt>
                  <c:idx val="76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0F-E1EB-456A-BEBE-EF697796FB60}"/>
                    </c:ext>
                  </c:extLst>
                </c:dPt>
                <c:dPt>
                  <c:idx val="77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11-E1EB-456A-BEBE-EF697796FB60}"/>
                    </c:ext>
                  </c:extLst>
                </c:dPt>
                <c:dPt>
                  <c:idx val="77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13-E1EB-456A-BEBE-EF697796FB60}"/>
                    </c:ext>
                  </c:extLst>
                </c:dPt>
                <c:dPt>
                  <c:idx val="77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15-E1EB-456A-BEBE-EF697796FB60}"/>
                    </c:ext>
                  </c:extLst>
                </c:dPt>
                <c:dPt>
                  <c:idx val="77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17-E1EB-456A-BEBE-EF697796FB60}"/>
                    </c:ext>
                  </c:extLst>
                </c:dPt>
                <c:dPt>
                  <c:idx val="77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19-E1EB-456A-BEBE-EF697796FB60}"/>
                    </c:ext>
                  </c:extLst>
                </c:dPt>
                <c:dPt>
                  <c:idx val="77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1B-E1EB-456A-BEBE-EF697796FB60}"/>
                    </c:ext>
                  </c:extLst>
                </c:dPt>
                <c:dPt>
                  <c:idx val="77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1D-E1EB-456A-BEBE-EF697796FB60}"/>
                    </c:ext>
                  </c:extLst>
                </c:dPt>
                <c:dPt>
                  <c:idx val="77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1F-E1EB-456A-BEBE-EF697796FB60}"/>
                    </c:ext>
                  </c:extLst>
                </c:dPt>
                <c:dPt>
                  <c:idx val="77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21-E1EB-456A-BEBE-EF697796FB60}"/>
                    </c:ext>
                  </c:extLst>
                </c:dPt>
                <c:dPt>
                  <c:idx val="77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23-E1EB-456A-BEBE-EF697796FB60}"/>
                    </c:ext>
                  </c:extLst>
                </c:dPt>
                <c:dPt>
                  <c:idx val="78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25-E1EB-456A-BEBE-EF697796FB60}"/>
                    </c:ext>
                  </c:extLst>
                </c:dPt>
                <c:dPt>
                  <c:idx val="78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27-E1EB-456A-BEBE-EF697796FB60}"/>
                    </c:ext>
                  </c:extLst>
                </c:dPt>
                <c:dPt>
                  <c:idx val="78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29-E1EB-456A-BEBE-EF697796FB60}"/>
                    </c:ext>
                  </c:extLst>
                </c:dPt>
                <c:dPt>
                  <c:idx val="78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2B-E1EB-456A-BEBE-EF697796FB60}"/>
                    </c:ext>
                  </c:extLst>
                </c:dPt>
                <c:dPt>
                  <c:idx val="78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2D-E1EB-456A-BEBE-EF697796FB60}"/>
                    </c:ext>
                  </c:extLst>
                </c:dPt>
                <c:dPt>
                  <c:idx val="78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2F-E1EB-456A-BEBE-EF697796FB60}"/>
                    </c:ext>
                  </c:extLst>
                </c:dPt>
                <c:dPt>
                  <c:idx val="78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31-E1EB-456A-BEBE-EF697796FB60}"/>
                    </c:ext>
                  </c:extLst>
                </c:dPt>
                <c:dPt>
                  <c:idx val="78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33-E1EB-456A-BEBE-EF697796FB60}"/>
                    </c:ext>
                  </c:extLst>
                </c:dPt>
                <c:dPt>
                  <c:idx val="78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35-E1EB-456A-BEBE-EF697796FB60}"/>
                    </c:ext>
                  </c:extLst>
                </c:dPt>
                <c:dPt>
                  <c:idx val="78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37-E1EB-456A-BEBE-EF697796FB60}"/>
                    </c:ext>
                  </c:extLst>
                </c:dPt>
                <c:dPt>
                  <c:idx val="79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39-E1EB-456A-BEBE-EF697796FB60}"/>
                    </c:ext>
                  </c:extLst>
                </c:dPt>
                <c:dPt>
                  <c:idx val="79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3B-E1EB-456A-BEBE-EF697796FB60}"/>
                    </c:ext>
                  </c:extLst>
                </c:dPt>
                <c:dPt>
                  <c:idx val="79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3D-E1EB-456A-BEBE-EF697796FB60}"/>
                    </c:ext>
                  </c:extLst>
                </c:dPt>
                <c:dPt>
                  <c:idx val="79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3F-E1EB-456A-BEBE-EF697796FB60}"/>
                    </c:ext>
                  </c:extLst>
                </c:dPt>
                <c:dPt>
                  <c:idx val="79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41-E1EB-456A-BEBE-EF697796FB60}"/>
                    </c:ext>
                  </c:extLst>
                </c:dPt>
                <c:dPt>
                  <c:idx val="79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43-E1EB-456A-BEBE-EF697796FB60}"/>
                    </c:ext>
                  </c:extLst>
                </c:dPt>
                <c:dPt>
                  <c:idx val="79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45-E1EB-456A-BEBE-EF697796FB60}"/>
                    </c:ext>
                  </c:extLst>
                </c:dPt>
                <c:dPt>
                  <c:idx val="79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47-E1EB-456A-BEBE-EF697796FB60}"/>
                    </c:ext>
                  </c:extLst>
                </c:dPt>
                <c:dPt>
                  <c:idx val="79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49-E1EB-456A-BEBE-EF697796FB60}"/>
                    </c:ext>
                  </c:extLst>
                </c:dPt>
                <c:dPt>
                  <c:idx val="79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4B-E1EB-456A-BEBE-EF697796FB60}"/>
                    </c:ext>
                  </c:extLst>
                </c:dPt>
                <c:dPt>
                  <c:idx val="80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4D-E1EB-456A-BEBE-EF697796FB60}"/>
                    </c:ext>
                  </c:extLst>
                </c:dPt>
                <c:dPt>
                  <c:idx val="80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4F-E1EB-456A-BEBE-EF697796FB60}"/>
                    </c:ext>
                  </c:extLst>
                </c:dPt>
                <c:dPt>
                  <c:idx val="80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51-E1EB-456A-BEBE-EF697796FB60}"/>
                    </c:ext>
                  </c:extLst>
                </c:dPt>
                <c:dPt>
                  <c:idx val="80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53-E1EB-456A-BEBE-EF697796FB60}"/>
                    </c:ext>
                  </c:extLst>
                </c:dPt>
                <c:dPt>
                  <c:idx val="80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55-E1EB-456A-BEBE-EF697796FB60}"/>
                    </c:ext>
                  </c:extLst>
                </c:dPt>
                <c:dPt>
                  <c:idx val="80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57-E1EB-456A-BEBE-EF697796FB60}"/>
                    </c:ext>
                  </c:extLst>
                </c:dPt>
                <c:dPt>
                  <c:idx val="80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59-E1EB-456A-BEBE-EF697796FB60}"/>
                    </c:ext>
                  </c:extLst>
                </c:dPt>
                <c:dPt>
                  <c:idx val="80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5B-E1EB-456A-BEBE-EF697796FB60}"/>
                    </c:ext>
                  </c:extLst>
                </c:dPt>
                <c:dPt>
                  <c:idx val="80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5D-E1EB-456A-BEBE-EF697796FB60}"/>
                    </c:ext>
                  </c:extLst>
                </c:dPt>
                <c:dPt>
                  <c:idx val="80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5F-E1EB-456A-BEBE-EF697796FB60}"/>
                    </c:ext>
                  </c:extLst>
                </c:dPt>
                <c:dPt>
                  <c:idx val="81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61-E1EB-456A-BEBE-EF697796FB60}"/>
                    </c:ext>
                  </c:extLst>
                </c:dPt>
                <c:dPt>
                  <c:idx val="81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63-E1EB-456A-BEBE-EF697796FB60}"/>
                    </c:ext>
                  </c:extLst>
                </c:dPt>
                <c:dPt>
                  <c:idx val="81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65-E1EB-456A-BEBE-EF697796FB60}"/>
                    </c:ext>
                  </c:extLst>
                </c:dPt>
                <c:dPt>
                  <c:idx val="81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67-E1EB-456A-BEBE-EF697796FB60}"/>
                    </c:ext>
                  </c:extLst>
                </c:dPt>
                <c:dPt>
                  <c:idx val="81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69-E1EB-456A-BEBE-EF697796FB60}"/>
                    </c:ext>
                  </c:extLst>
                </c:dPt>
                <c:dPt>
                  <c:idx val="81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6B-E1EB-456A-BEBE-EF697796FB60}"/>
                    </c:ext>
                  </c:extLst>
                </c:dPt>
                <c:dPt>
                  <c:idx val="81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6D-E1EB-456A-BEBE-EF697796FB60}"/>
                    </c:ext>
                  </c:extLst>
                </c:dPt>
                <c:dPt>
                  <c:idx val="81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6F-E1EB-456A-BEBE-EF697796FB60}"/>
                    </c:ext>
                  </c:extLst>
                </c:dPt>
                <c:dPt>
                  <c:idx val="81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71-E1EB-456A-BEBE-EF697796FB60}"/>
                    </c:ext>
                  </c:extLst>
                </c:dPt>
                <c:dPt>
                  <c:idx val="81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73-E1EB-456A-BEBE-EF697796FB60}"/>
                    </c:ext>
                  </c:extLst>
                </c:dPt>
                <c:dPt>
                  <c:idx val="82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75-E1EB-456A-BEBE-EF697796FB60}"/>
                    </c:ext>
                  </c:extLst>
                </c:dPt>
                <c:dPt>
                  <c:idx val="82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77-E1EB-456A-BEBE-EF697796FB60}"/>
                    </c:ext>
                  </c:extLst>
                </c:dPt>
                <c:dPt>
                  <c:idx val="82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79-E1EB-456A-BEBE-EF697796FB60}"/>
                    </c:ext>
                  </c:extLst>
                </c:dPt>
                <c:dPt>
                  <c:idx val="82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7B-E1EB-456A-BEBE-EF697796FB60}"/>
                    </c:ext>
                  </c:extLst>
                </c:dPt>
                <c:dPt>
                  <c:idx val="82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7D-E1EB-456A-BEBE-EF697796FB60}"/>
                    </c:ext>
                  </c:extLst>
                </c:dPt>
                <c:dPt>
                  <c:idx val="82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7F-E1EB-456A-BEBE-EF697796FB60}"/>
                    </c:ext>
                  </c:extLst>
                </c:dPt>
                <c:dPt>
                  <c:idx val="82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81-E1EB-456A-BEBE-EF697796FB60}"/>
                    </c:ext>
                  </c:extLst>
                </c:dPt>
                <c:dPt>
                  <c:idx val="82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83-E1EB-456A-BEBE-EF697796FB60}"/>
                    </c:ext>
                  </c:extLst>
                </c:dPt>
                <c:dPt>
                  <c:idx val="82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85-E1EB-456A-BEBE-EF697796FB60}"/>
                    </c:ext>
                  </c:extLst>
                </c:dPt>
                <c:dPt>
                  <c:idx val="82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87-E1EB-456A-BEBE-EF697796FB60}"/>
                    </c:ext>
                  </c:extLst>
                </c:dPt>
                <c:dPt>
                  <c:idx val="83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89-E1EB-456A-BEBE-EF697796FB60}"/>
                    </c:ext>
                  </c:extLst>
                </c:dPt>
                <c:dPt>
                  <c:idx val="83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8B-E1EB-456A-BEBE-EF697796FB60}"/>
                    </c:ext>
                  </c:extLst>
                </c:dPt>
                <c:dPt>
                  <c:idx val="83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8D-E1EB-456A-BEBE-EF697796FB60}"/>
                    </c:ext>
                  </c:extLst>
                </c:dPt>
                <c:dPt>
                  <c:idx val="83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8F-E1EB-456A-BEBE-EF697796FB60}"/>
                    </c:ext>
                  </c:extLst>
                </c:dPt>
                <c:dPt>
                  <c:idx val="83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91-E1EB-456A-BEBE-EF697796FB60}"/>
                    </c:ext>
                  </c:extLst>
                </c:dPt>
                <c:dPt>
                  <c:idx val="83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93-E1EB-456A-BEBE-EF697796FB60}"/>
                    </c:ext>
                  </c:extLst>
                </c:dPt>
                <c:dPt>
                  <c:idx val="83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95-E1EB-456A-BEBE-EF697796FB60}"/>
                    </c:ext>
                  </c:extLst>
                </c:dPt>
                <c:dPt>
                  <c:idx val="83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97-E1EB-456A-BEBE-EF697796FB60}"/>
                    </c:ext>
                  </c:extLst>
                </c:dPt>
                <c:dPt>
                  <c:idx val="83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99-E1EB-456A-BEBE-EF697796FB60}"/>
                    </c:ext>
                  </c:extLst>
                </c:dPt>
                <c:dPt>
                  <c:idx val="83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9B-E1EB-456A-BEBE-EF697796FB60}"/>
                    </c:ext>
                  </c:extLst>
                </c:dPt>
                <c:dPt>
                  <c:idx val="84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9D-E1EB-456A-BEBE-EF697796FB60}"/>
                    </c:ext>
                  </c:extLst>
                </c:dPt>
                <c:dPt>
                  <c:idx val="84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9F-E1EB-456A-BEBE-EF697796FB60}"/>
                    </c:ext>
                  </c:extLst>
                </c:dPt>
                <c:dPt>
                  <c:idx val="84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A1-E1EB-456A-BEBE-EF697796FB60}"/>
                    </c:ext>
                  </c:extLst>
                </c:dPt>
                <c:dPt>
                  <c:idx val="84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A3-E1EB-456A-BEBE-EF697796FB60}"/>
                    </c:ext>
                  </c:extLst>
                </c:dPt>
                <c:dPt>
                  <c:idx val="84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A5-E1EB-456A-BEBE-EF697796FB60}"/>
                    </c:ext>
                  </c:extLst>
                </c:dPt>
                <c:dPt>
                  <c:idx val="84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A7-E1EB-456A-BEBE-EF697796FB60}"/>
                    </c:ext>
                  </c:extLst>
                </c:dPt>
                <c:dPt>
                  <c:idx val="84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A9-E1EB-456A-BEBE-EF697796FB60}"/>
                    </c:ext>
                  </c:extLst>
                </c:dPt>
                <c:dPt>
                  <c:idx val="84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AB-E1EB-456A-BEBE-EF697796FB60}"/>
                    </c:ext>
                  </c:extLst>
                </c:dPt>
                <c:dPt>
                  <c:idx val="84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AD-E1EB-456A-BEBE-EF697796FB60}"/>
                    </c:ext>
                  </c:extLst>
                </c:dPt>
                <c:dPt>
                  <c:idx val="84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AF-E1EB-456A-BEBE-EF697796FB60}"/>
                    </c:ext>
                  </c:extLst>
                </c:dPt>
                <c:dPt>
                  <c:idx val="85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B1-E1EB-456A-BEBE-EF697796FB60}"/>
                    </c:ext>
                  </c:extLst>
                </c:dPt>
                <c:dPt>
                  <c:idx val="85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B3-E1EB-456A-BEBE-EF697796FB60}"/>
                    </c:ext>
                  </c:extLst>
                </c:dPt>
                <c:dPt>
                  <c:idx val="85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B5-E1EB-456A-BEBE-EF697796FB60}"/>
                    </c:ext>
                  </c:extLst>
                </c:dPt>
                <c:dPt>
                  <c:idx val="85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B7-E1EB-456A-BEBE-EF697796FB60}"/>
                    </c:ext>
                  </c:extLst>
                </c:dPt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 cap="flat" cmpd="sng" algn="ctr">
                        <a:solidFill>
                          <a:schemeClr val="tx1">
                            <a:lumMod val="35000"/>
                            <a:lumOff val="65000"/>
                          </a:schemeClr>
                        </a:solidFill>
                        <a:round/>
                      </a:ln>
                      <a:effectLst/>
                    </c:spPr>
                  </c:leaderLines>
                  <c:extLst xmlns:c15="http://schemas.microsoft.com/office/drawing/2012/chart">
                    <c:ext xmlns:c15="http://schemas.microsoft.com/office/drawing/2012/chart" uri="{CE6537A1-D6FC-4f65-9D91-7224C49458BB}"/>
                  </c:extLst>
                </c:dLbls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('Données '!$C$199,'Données '!$E$199,'Données '!$G$199,'Données '!$I$199,'Données '!$K$199,'Données '!$M$199,'Données '!$O$199)</c15:sqref>
                        </c15:formulaRef>
                      </c:ext>
                    </c:extLst>
                    <c:strCache>
                      <c:ptCount val="7"/>
                      <c:pt idx="0">
                        <c:v>ESQ ==&gt; APD</c:v>
                      </c:pt>
                      <c:pt idx="1">
                        <c:v>Fin études/AO</c:v>
                      </c:pt>
                      <c:pt idx="2">
                        <c:v>OS</c:v>
                      </c:pt>
                      <c:pt idx="3">
                        <c:v>Travaux</c:v>
                      </c:pt>
                      <c:pt idx="4">
                        <c:v>GPA</c:v>
                      </c:pt>
                      <c:pt idx="5">
                        <c:v>Clôture défisc</c:v>
                      </c:pt>
                      <c:pt idx="6">
                        <c:v>STOP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('Données '!$C$203,'Données '!$E$203,'Données '!$G$203,'Données '!$I$203,'Données '!$K$203,'Données '!$M$203,'Données '!$O$203)</c15:sqref>
                        </c15:formulaRef>
                      </c:ext>
                    </c:extLst>
                    <c:numCache>
                      <c:formatCode>General</c:formatCode>
                      <c:ptCount val="7"/>
                      <c:pt idx="0">
                        <c:v>0</c:v>
                      </c:pt>
                      <c:pt idx="1">
                        <c:v>2</c:v>
                      </c:pt>
                      <c:pt idx="2">
                        <c:v>0</c:v>
                      </c:pt>
                      <c:pt idx="3">
                        <c:v>1</c:v>
                      </c:pt>
                      <c:pt idx="4">
                        <c:v>0</c:v>
                      </c:pt>
                      <c:pt idx="5">
                        <c:v>1</c:v>
                      </c:pt>
                      <c:pt idx="6">
                        <c:v>0</c:v>
                      </c:pt>
                    </c:numCache>
                  </c:numRef>
                </c:val>
                <c:extLst xmlns:c15="http://schemas.microsoft.com/office/drawing/2012/chart">
                  <c:ext xmlns:c16="http://schemas.microsoft.com/office/drawing/2014/chart" uri="{C3380CC4-5D6E-409C-BE32-E72D297353CC}">
                    <c16:uniqueId val="{0000064E-DB9F-452A-82DA-49E825A71C5F}"/>
                  </c:ext>
                </c:extLst>
              </c15:ser>
            </c15:filteredPieSeries>
            <c15:filteredPieSeries>
              <c15:ser>
                <c:idx val="4"/>
                <c:order val="4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'Données '!$B$204</c15:sqref>
                        </c15:formulaRef>
                      </c:ext>
                    </c:extLst>
                    <c:strCache>
                      <c:ptCount val="1"/>
                      <c:pt idx="0">
                        <c:v>NLE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665-1115-4863-B690-D60CB1C70F91}"/>
                    </c:ext>
                  </c:extLst>
                </c:dPt>
                <c:dPt>
                  <c:idx val="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9F-DAB6-45DA-91D4-882BD746BCFB}"/>
                    </c:ext>
                  </c:extLst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69-5EDB-4BE8-B6CB-617A718FFB97}"/>
                    </c:ext>
                  </c:extLst>
                </c:dPt>
                <c:dPt>
                  <c:idx val="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2D-DAF1-41D9-9DB1-A178C939277F}"/>
                    </c:ext>
                  </c:extLst>
                </c:dPt>
                <c:dPt>
                  <c:idx val="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6D-5EDB-4BE8-B6CB-617A718FFB97}"/>
                    </c:ext>
                  </c:extLst>
                </c:dPt>
                <c:dPt>
                  <c:idx val="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F1-1D13-485A-BA6F-2734FB277198}"/>
                    </c:ext>
                  </c:extLst>
                </c:dPt>
                <c:dPt>
                  <c:idx val="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71-5EDB-4BE8-B6CB-617A718FFB97}"/>
                    </c:ext>
                  </c:extLst>
                </c:dPt>
                <c:dPt>
                  <c:idx val="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31-DAF1-41D9-9DB1-A178C939277F}"/>
                    </c:ext>
                  </c:extLst>
                </c:dPt>
                <c:dPt>
                  <c:idx val="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75-5EDB-4BE8-B6CB-617A718FFB97}"/>
                    </c:ext>
                  </c:extLst>
                </c:dPt>
                <c:dPt>
                  <c:idx val="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6D-04ED-4AA9-BC50-D66038FCB951}"/>
                    </c:ext>
                  </c:extLst>
                </c:dPt>
                <c:dPt>
                  <c:idx val="1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79-5EDB-4BE8-B6CB-617A718FFB97}"/>
                    </c:ext>
                  </c:extLst>
                </c:dPt>
                <c:dPt>
                  <c:idx val="1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35-DAF1-41D9-9DB1-A178C939277F}"/>
                    </c:ext>
                  </c:extLst>
                </c:dPt>
                <c:dPt>
                  <c:idx val="1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F5-1D13-485A-BA6F-2734FB277198}"/>
                    </c:ext>
                  </c:extLst>
                </c:dPt>
                <c:dPt>
                  <c:idx val="1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39-DAF1-41D9-9DB1-A178C939277F}"/>
                    </c:ext>
                  </c:extLst>
                </c:dPt>
                <c:dPt>
                  <c:idx val="1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A1-DAB6-45DA-91D4-882BD746BCFB}"/>
                    </c:ext>
                  </c:extLst>
                </c:dPt>
                <c:dPt>
                  <c:idx val="1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3D-DAF1-41D9-9DB1-A178C939277F}"/>
                    </c:ext>
                  </c:extLst>
                </c:dPt>
                <c:dPt>
                  <c:idx val="1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F9-1D13-485A-BA6F-2734FB277198}"/>
                    </c:ext>
                  </c:extLst>
                </c:dPt>
                <c:dPt>
                  <c:idx val="1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71-04ED-4AA9-BC50-D66038FCB951}"/>
                    </c:ext>
                  </c:extLst>
                </c:dPt>
                <c:dPt>
                  <c:idx val="1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FD-1D13-485A-BA6F-2734FB277198}"/>
                    </c:ext>
                  </c:extLst>
                </c:dPt>
                <c:dPt>
                  <c:idx val="1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BB-60BE-40C2-8D55-6632F2E349D0}"/>
                    </c:ext>
                  </c:extLst>
                </c:dPt>
                <c:dPt>
                  <c:idx val="2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01-1D13-485A-BA6F-2734FB277198}"/>
                    </c:ext>
                  </c:extLst>
                </c:dPt>
                <c:dPt>
                  <c:idx val="2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A3-5544-4033-80F0-E894437B4A40}"/>
                    </c:ext>
                  </c:extLst>
                </c:dPt>
                <c:dPt>
                  <c:idx val="2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BF-60BE-40C2-8D55-6632F2E349D0}"/>
                    </c:ext>
                  </c:extLst>
                </c:dPt>
                <c:dPt>
                  <c:idx val="2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8B-A86C-40C3-A162-230FDBCEA487}"/>
                    </c:ext>
                  </c:extLst>
                </c:dPt>
                <c:dPt>
                  <c:idx val="2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A7-5544-4033-80F0-E894437B4A40}"/>
                    </c:ext>
                  </c:extLst>
                </c:dPt>
                <c:dPt>
                  <c:idx val="2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D3-B056-42B7-88DE-80749CFCCB2D}"/>
                    </c:ext>
                  </c:extLst>
                </c:dPt>
                <c:dPt>
                  <c:idx val="2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8F-A86C-40C3-A162-230FDBCEA487}"/>
                    </c:ext>
                  </c:extLst>
                </c:dPt>
                <c:dPt>
                  <c:idx val="2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75-04ED-4AA9-BC50-D66038FCB951}"/>
                    </c:ext>
                  </c:extLst>
                </c:dPt>
                <c:dPt>
                  <c:idx val="2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A3-DAB6-45DA-91D4-882BD746BCFB}"/>
                    </c:ext>
                  </c:extLst>
                </c:dPt>
                <c:dPt>
                  <c:idx val="2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79-04ED-4AA9-BC50-D66038FCB951}"/>
                    </c:ext>
                  </c:extLst>
                </c:dPt>
                <c:dPt>
                  <c:idx val="3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37-A820-4364-A7E1-C676310E0661}"/>
                    </c:ext>
                  </c:extLst>
                </c:dPt>
                <c:dPt>
                  <c:idx val="3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7D-04ED-4AA9-BC50-D66038FCB951}"/>
                    </c:ext>
                  </c:extLst>
                </c:dPt>
                <c:dPt>
                  <c:idx val="3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1F-347F-48E4-BBCB-0EE59E974D1D}"/>
                    </c:ext>
                  </c:extLst>
                </c:dPt>
                <c:dPt>
                  <c:idx val="3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3B-A820-4364-A7E1-C676310E0661}"/>
                    </c:ext>
                  </c:extLst>
                </c:dPt>
                <c:dPt>
                  <c:idx val="3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07-CA5B-4529-960D-90148F46BA02}"/>
                    </c:ext>
                  </c:extLst>
                </c:dPt>
                <c:dPt>
                  <c:idx val="3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23-347F-48E4-BBCB-0EE59E974D1D}"/>
                    </c:ext>
                  </c:extLst>
                </c:dPt>
                <c:dPt>
                  <c:idx val="3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EF-22F6-405D-A58F-94551EB1A83D}"/>
                    </c:ext>
                  </c:extLst>
                </c:dPt>
                <c:dPt>
                  <c:idx val="3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0B-CA5B-4529-960D-90148F46BA02}"/>
                    </c:ext>
                  </c:extLst>
                </c:dPt>
                <c:dPt>
                  <c:idx val="3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D7-B056-42B7-88DE-80749CFCCB2D}"/>
                    </c:ext>
                  </c:extLst>
                </c:dPt>
                <c:dPt>
                  <c:idx val="3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F3-22F6-405D-A58F-94551EB1A83D}"/>
                    </c:ext>
                  </c:extLst>
                </c:dPt>
                <c:dPt>
                  <c:idx val="4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A5-DAB6-45DA-91D4-882BD746BCFB}"/>
                    </c:ext>
                  </c:extLst>
                </c:dPt>
                <c:dPt>
                  <c:idx val="4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DB-B056-42B7-88DE-80749CFCCB2D}"/>
                    </c:ext>
                  </c:extLst>
                </c:dPt>
                <c:dPt>
                  <c:idx val="4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A7-DAB6-45DA-91D4-882BD746BCFB}"/>
                    </c:ext>
                  </c:extLst>
                </c:dPt>
                <c:dPt>
                  <c:idx val="4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DF-B056-42B7-88DE-80749CFCCB2D}"/>
                    </c:ext>
                  </c:extLst>
                </c:dPt>
                <c:dPt>
                  <c:idx val="4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7B-596B-4D92-9954-301040E220ED}"/>
                    </c:ext>
                  </c:extLst>
                </c:dPt>
                <c:dPt>
                  <c:idx val="4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8F-68AF-4A70-B683-C4D0C1441A52}"/>
                    </c:ext>
                  </c:extLst>
                </c:dPt>
                <c:dPt>
                  <c:idx val="4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6B-2141-4CAD-8321-B92A7034E6C6}"/>
                    </c:ext>
                  </c:extLst>
                </c:dPt>
                <c:dPt>
                  <c:idx val="4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7F-596B-4D92-9954-301040E220ED}"/>
                    </c:ext>
                  </c:extLst>
                </c:dPt>
                <c:dPt>
                  <c:idx val="4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27-59B7-4954-977F-FA691076C96E}"/>
                    </c:ext>
                  </c:extLst>
                </c:dPt>
                <c:dPt>
                  <c:idx val="4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6F-2141-4CAD-8321-B92A7034E6C6}"/>
                    </c:ext>
                  </c:extLst>
                </c:dPt>
                <c:dPt>
                  <c:idx val="5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4B-6E46-49EC-894E-39393BA39F32}"/>
                    </c:ext>
                  </c:extLst>
                </c:dPt>
                <c:dPt>
                  <c:idx val="5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73-2141-4CAD-8321-B92A7034E6C6}"/>
                    </c:ext>
                  </c:extLst>
                </c:dPt>
                <c:dPt>
                  <c:idx val="5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07-5597-45E1-A31B-D524361EF8E8}"/>
                    </c:ext>
                  </c:extLst>
                </c:dPt>
                <c:dPt>
                  <c:idx val="5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4F-6E46-49EC-894E-39393BA39F32}"/>
                    </c:ext>
                  </c:extLst>
                </c:dPt>
                <c:dPt>
                  <c:idx val="5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2B-59B7-4954-977F-FA691076C96E}"/>
                    </c:ext>
                  </c:extLst>
                </c:dPt>
                <c:dPt>
                  <c:idx val="5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53-6E46-49EC-894E-39393BA39F32}"/>
                    </c:ext>
                  </c:extLst>
                </c:dPt>
                <c:dPt>
                  <c:idx val="5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E7-CC2F-4B13-B669-E8947D387CAC}"/>
                    </c:ext>
                  </c:extLst>
                </c:dPt>
                <c:dPt>
                  <c:idx val="5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2F-59B7-4954-977F-FA691076C96E}"/>
                    </c:ext>
                  </c:extLst>
                </c:dPt>
                <c:dPt>
                  <c:idx val="5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0B-5597-45E1-A31B-D524361EF8E8}"/>
                    </c:ext>
                  </c:extLst>
                </c:dPt>
                <c:dPt>
                  <c:idx val="5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33-59B7-4954-977F-FA691076C96E}"/>
                    </c:ext>
                  </c:extLst>
                </c:dPt>
                <c:dPt>
                  <c:idx val="6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C7-23E5-487F-B5FC-486D3B6F33AD}"/>
                    </c:ext>
                  </c:extLst>
                </c:dPt>
                <c:dPt>
                  <c:idx val="6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0F-5597-45E1-A31B-D524361EF8E8}"/>
                    </c:ext>
                  </c:extLst>
                </c:dPt>
                <c:dPt>
                  <c:idx val="6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EB-CC2F-4B13-B669-E8947D387CAC}"/>
                    </c:ext>
                  </c:extLst>
                </c:dPt>
                <c:dPt>
                  <c:idx val="6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13-5597-45E1-A31B-D524361EF8E8}"/>
                    </c:ext>
                  </c:extLst>
                </c:dPt>
                <c:dPt>
                  <c:idx val="6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7D-C9B8-4D8E-BB56-5E3C88048355}"/>
                    </c:ext>
                  </c:extLst>
                </c:dPt>
                <c:dPt>
                  <c:idx val="6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EF-CC2F-4B13-B669-E8947D387CAC}"/>
                    </c:ext>
                  </c:extLst>
                </c:dPt>
                <c:dPt>
                  <c:idx val="6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CB-23E5-487F-B5FC-486D3B6F33AD}"/>
                    </c:ext>
                  </c:extLst>
                </c:dPt>
                <c:dPt>
                  <c:idx val="6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F3-CC2F-4B13-B669-E8947D387CAC}"/>
                    </c:ext>
                  </c:extLst>
                </c:dPt>
                <c:dPt>
                  <c:idx val="6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A9-7E19-43B5-AFD0-AA8159069CAE}"/>
                    </c:ext>
                  </c:extLst>
                </c:dPt>
                <c:dPt>
                  <c:idx val="6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CF-23E5-487F-B5FC-486D3B6F33AD}"/>
                    </c:ext>
                  </c:extLst>
                </c:dPt>
                <c:dPt>
                  <c:idx val="7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25-AB76-4C01-B0E9-A19E035A66C4}"/>
                    </c:ext>
                  </c:extLst>
                </c:dPt>
                <c:dPt>
                  <c:idx val="7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D3-23E5-487F-B5FC-486D3B6F33AD}"/>
                    </c:ext>
                  </c:extLst>
                </c:dPt>
                <c:dPt>
                  <c:idx val="7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AD-7E19-43B5-AFD0-AA8159069CAE}"/>
                    </c:ext>
                  </c:extLst>
                </c:dPt>
                <c:dPt>
                  <c:idx val="7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81-C9B8-4D8E-BB56-5E3C88048355}"/>
                    </c:ext>
                  </c:extLst>
                </c:dPt>
                <c:dPt>
                  <c:idx val="7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B1-7E19-43B5-AFD0-AA8159069CAE}"/>
                    </c:ext>
                  </c:extLst>
                </c:dPt>
                <c:dPt>
                  <c:idx val="7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ED-F87F-4084-9D74-26F54D9DCDC8}"/>
                    </c:ext>
                  </c:extLst>
                </c:dPt>
                <c:dPt>
                  <c:idx val="7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B5-7E19-43B5-AFD0-AA8159069CAE}"/>
                    </c:ext>
                  </c:extLst>
                </c:dPt>
                <c:dPt>
                  <c:idx val="7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85-C9B8-4D8E-BB56-5E3C88048355}"/>
                    </c:ext>
                  </c:extLst>
                </c:dPt>
                <c:dPt>
                  <c:idx val="7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29-AB76-4C01-B0E9-A19E035A66C4}"/>
                    </c:ext>
                  </c:extLst>
                </c:dPt>
                <c:dPt>
                  <c:idx val="7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89-C9B8-4D8E-BB56-5E3C88048355}"/>
                    </c:ext>
                  </c:extLst>
                </c:dPt>
                <c:dPt>
                  <c:idx val="8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5B-3B3F-4C0F-9836-96B52C253EE0}"/>
                    </c:ext>
                  </c:extLst>
                </c:dPt>
                <c:dPt>
                  <c:idx val="8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8D-C9B8-4D8E-BB56-5E3C88048355}"/>
                    </c:ext>
                  </c:extLst>
                </c:dPt>
                <c:dPt>
                  <c:idx val="8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4B-98AC-40BA-9E50-0D29417390DE}"/>
                    </c:ext>
                  </c:extLst>
                </c:dPt>
                <c:dPt>
                  <c:idx val="8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5F-3B3F-4C0F-9836-96B52C253EE0}"/>
                    </c:ext>
                  </c:extLst>
                </c:dPt>
                <c:dPt>
                  <c:idx val="8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3B-517B-4D48-8CAD-2056264369A5}"/>
                    </c:ext>
                  </c:extLst>
                </c:dPt>
                <c:dPt>
                  <c:idx val="8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4F-98AC-40BA-9E50-0D29417390DE}"/>
                    </c:ext>
                  </c:extLst>
                </c:dPt>
                <c:dPt>
                  <c:idx val="8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BD-E1EB-456A-BEBE-EF697796FB60}"/>
                    </c:ext>
                  </c:extLst>
                </c:dPt>
                <c:dPt>
                  <c:idx val="8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3F-517B-4D48-8CAD-2056264369A5}"/>
                    </c:ext>
                  </c:extLst>
                </c:dPt>
                <c:dPt>
                  <c:idx val="8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2D-AB76-4C01-B0E9-A19E035A66C4}"/>
                    </c:ext>
                  </c:extLst>
                </c:dPt>
                <c:dPt>
                  <c:idx val="8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F1-F87F-4084-9D74-26F54D9DCDC8}"/>
                    </c:ext>
                  </c:extLst>
                </c:dPt>
                <c:dPt>
                  <c:idx val="9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31-AB76-4C01-B0E9-A19E035A66C4}"/>
                    </c:ext>
                  </c:extLst>
                </c:dPt>
                <c:dPt>
                  <c:idx val="9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03-A4AA-4F75-BAEF-2070A4AEC42C}"/>
                    </c:ext>
                  </c:extLst>
                </c:dPt>
                <c:dPt>
                  <c:idx val="9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35-AB76-4C01-B0E9-A19E035A66C4}"/>
                    </c:ext>
                  </c:extLst>
                </c:dPt>
                <c:dPt>
                  <c:idx val="9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C7-DBCB-40F3-AAE3-A7FE123E6F99}"/>
                    </c:ext>
                  </c:extLst>
                </c:dPt>
                <c:dPt>
                  <c:idx val="9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07-A4AA-4F75-BAEF-2070A4AEC42C}"/>
                    </c:ext>
                  </c:extLst>
                </c:dPt>
                <c:dPt>
                  <c:idx val="9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F5-F87F-4084-9D74-26F54D9DCDC8}"/>
                    </c:ext>
                  </c:extLst>
                </c:dPt>
                <c:dPt>
                  <c:idx val="9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C9-DBCB-40F3-AAE3-A7FE123E6F99}"/>
                    </c:ext>
                  </c:extLst>
                </c:dPt>
                <c:dPt>
                  <c:idx val="9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F9-F87F-4084-9D74-26F54D9DCDC8}"/>
                    </c:ext>
                  </c:extLst>
                </c:dPt>
                <c:dPt>
                  <c:idx val="9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CB-DBCB-40F3-AAE3-A7FE123E6F99}"/>
                    </c:ext>
                  </c:extLst>
                </c:dPt>
                <c:dPt>
                  <c:idx val="9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FD-F87F-4084-9D74-26F54D9DCDC8}"/>
                    </c:ext>
                  </c:extLst>
                </c:dPt>
                <c:dPt>
                  <c:idx val="10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BB-13FB-448F-AF5B-C2B348685C35}"/>
                    </c:ext>
                  </c:extLst>
                </c:dPt>
                <c:dPt>
                  <c:idx val="10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CF-DBCB-40F3-AAE3-A7FE123E6F99}"/>
                    </c:ext>
                  </c:extLst>
                </c:dPt>
                <c:dPt>
                  <c:idx val="10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AB-A92A-4A17-B06C-67702BFFE346}"/>
                    </c:ext>
                  </c:extLst>
                </c:dPt>
                <c:dPt>
                  <c:idx val="10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BF-13FB-448F-AF5B-C2B348685C35}"/>
                    </c:ext>
                  </c:extLst>
                </c:dPt>
                <c:dPt>
                  <c:idx val="10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9B-8EF1-442F-839B-C60B34E428DD}"/>
                    </c:ext>
                  </c:extLst>
                </c:dPt>
                <c:dPt>
                  <c:idx val="10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AF-A92A-4A17-B06C-67702BFFE346}"/>
                    </c:ext>
                  </c:extLst>
                </c:dPt>
                <c:dPt>
                  <c:idx val="10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8B-4CA5-42DA-BA81-20CB7E934741}"/>
                    </c:ext>
                  </c:extLst>
                </c:dPt>
                <c:dPt>
                  <c:idx val="10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9F-8EF1-442F-839B-C60B34E428DD}"/>
                    </c:ext>
                  </c:extLst>
                </c:dPt>
                <c:dPt>
                  <c:idx val="10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7B-9CAE-4E2A-A7F6-AF1D53AB3760}"/>
                    </c:ext>
                  </c:extLst>
                </c:dPt>
                <c:dPt>
                  <c:idx val="10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8F-4CA5-42DA-BA81-20CB7E934741}"/>
                    </c:ext>
                  </c:extLst>
                </c:dPt>
                <c:dPt>
                  <c:idx val="11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6B-EB9E-43AE-8257-EBF97BE94AB2}"/>
                    </c:ext>
                  </c:extLst>
                </c:dPt>
                <c:dPt>
                  <c:idx val="11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7F-9CAE-4E2A-A7F6-AF1D53AB3760}"/>
                    </c:ext>
                  </c:extLst>
                </c:dPt>
                <c:dPt>
                  <c:idx val="11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5B-2D1E-4B95-BA8A-55C2EB21D0B5}"/>
                    </c:ext>
                  </c:extLst>
                </c:dPt>
                <c:dPt>
                  <c:idx val="11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6F-EB9E-43AE-8257-EBF97BE94AB2}"/>
                    </c:ext>
                  </c:extLst>
                </c:dPt>
                <c:dPt>
                  <c:idx val="11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4B-437E-4019-BCA3-0E44F50CDF0E}"/>
                    </c:ext>
                  </c:extLst>
                </c:dPt>
                <c:dPt>
                  <c:idx val="11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5F-2D1E-4B95-BA8A-55C2EB21D0B5}"/>
                    </c:ext>
                  </c:extLst>
                </c:dPt>
                <c:dPt>
                  <c:idx val="11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BF-E1EB-456A-BEBE-EF697796FB60}"/>
                    </c:ext>
                  </c:extLst>
                </c:dPt>
                <c:dPt>
                  <c:idx val="11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4F-437E-4019-BCA3-0E44F50CDF0E}"/>
                    </c:ext>
                  </c:extLst>
                </c:dPt>
                <c:dPt>
                  <c:idx val="11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2B-59A0-40C0-AD98-10F8257B2D31}"/>
                    </c:ext>
                  </c:extLst>
                </c:dPt>
                <c:dPt>
                  <c:idx val="11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53-437E-4019-BCA3-0E44F50CDF0E}"/>
                    </c:ext>
                  </c:extLst>
                </c:dPt>
                <c:dPt>
                  <c:idx val="12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09-0974-456E-BCB0-67A94FCED641}"/>
                    </c:ext>
                  </c:extLst>
                </c:dPt>
                <c:dPt>
                  <c:idx val="12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2F-59A0-40C0-AD98-10F8257B2D31}"/>
                    </c:ext>
                  </c:extLst>
                </c:dPt>
                <c:dPt>
                  <c:idx val="12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C1-E1EB-456A-BEBE-EF697796FB60}"/>
                    </c:ext>
                  </c:extLst>
                </c:dPt>
                <c:dPt>
                  <c:idx val="12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33-59A0-40C0-AD98-10F8257B2D31}"/>
                    </c:ext>
                  </c:extLst>
                </c:dPt>
                <c:dPt>
                  <c:idx val="12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0D-0974-456E-BCB0-67A94FCED641}"/>
                    </c:ext>
                  </c:extLst>
                </c:dPt>
                <c:dPt>
                  <c:idx val="12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F3-56D1-4B49-8296-DC493F75A797}"/>
                    </c:ext>
                  </c:extLst>
                </c:dPt>
                <c:dPt>
                  <c:idx val="12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11-0974-456E-BCB0-67A94FCED641}"/>
                    </c:ext>
                  </c:extLst>
                </c:dPt>
                <c:dPt>
                  <c:idx val="12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E3-A1EF-4F42-976F-AFFE4AC901E9}"/>
                    </c:ext>
                  </c:extLst>
                </c:dPt>
                <c:dPt>
                  <c:idx val="12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F7-56D1-4B49-8296-DC493F75A797}"/>
                    </c:ext>
                  </c:extLst>
                </c:dPt>
                <c:dPt>
                  <c:idx val="12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D3-EFE7-4A98-8625-4B8E9E30DD15}"/>
                    </c:ext>
                  </c:extLst>
                </c:dPt>
                <c:dPt>
                  <c:idx val="13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E7-A1EF-4F42-976F-AFFE4AC901E9}"/>
                    </c:ext>
                  </c:extLst>
                </c:dPt>
                <c:dPt>
                  <c:idx val="13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C3-E1EB-456A-BEBE-EF697796FB60}"/>
                    </c:ext>
                  </c:extLst>
                </c:dPt>
                <c:dPt>
                  <c:idx val="13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D7-EFE7-4A98-8625-4B8E9E30DD15}"/>
                    </c:ext>
                  </c:extLst>
                </c:dPt>
                <c:dPt>
                  <c:idx val="13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C5-E1EB-456A-BEBE-EF697796FB60}"/>
                    </c:ext>
                  </c:extLst>
                </c:dPt>
                <c:dPt>
                  <c:idx val="13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C7-E1EB-456A-BEBE-EF697796FB60}"/>
                    </c:ext>
                  </c:extLst>
                </c:dPt>
                <c:dPt>
                  <c:idx val="13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C9-E1EB-456A-BEBE-EF697796FB60}"/>
                    </c:ext>
                  </c:extLst>
                </c:dPt>
                <c:dPt>
                  <c:idx val="13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CB-E1EB-456A-BEBE-EF697796FB60}"/>
                    </c:ext>
                  </c:extLst>
                </c:dPt>
                <c:dPt>
                  <c:idx val="13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CD-E1EB-456A-BEBE-EF697796FB60}"/>
                    </c:ext>
                  </c:extLst>
                </c:dPt>
                <c:dPt>
                  <c:idx val="13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CF-E1EB-456A-BEBE-EF697796FB60}"/>
                    </c:ext>
                  </c:extLst>
                </c:dPt>
                <c:dPt>
                  <c:idx val="13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D1-E1EB-456A-BEBE-EF697796FB60}"/>
                    </c:ext>
                  </c:extLst>
                </c:dPt>
                <c:dPt>
                  <c:idx val="14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D3-E1EB-456A-BEBE-EF697796FB60}"/>
                    </c:ext>
                  </c:extLst>
                </c:dPt>
                <c:dPt>
                  <c:idx val="14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D5-E1EB-456A-BEBE-EF697796FB60}"/>
                    </c:ext>
                  </c:extLst>
                </c:dPt>
                <c:dPt>
                  <c:idx val="14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D7-E1EB-456A-BEBE-EF697796FB60}"/>
                    </c:ext>
                  </c:extLst>
                </c:dPt>
                <c:dPt>
                  <c:idx val="14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D9-E1EB-456A-BEBE-EF697796FB60}"/>
                    </c:ext>
                  </c:extLst>
                </c:dPt>
                <c:dPt>
                  <c:idx val="14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DB-E1EB-456A-BEBE-EF697796FB60}"/>
                    </c:ext>
                  </c:extLst>
                </c:dPt>
                <c:dPt>
                  <c:idx val="14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DD-E1EB-456A-BEBE-EF697796FB60}"/>
                    </c:ext>
                  </c:extLst>
                </c:dPt>
                <c:dPt>
                  <c:idx val="14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DF-E1EB-456A-BEBE-EF697796FB60}"/>
                    </c:ext>
                  </c:extLst>
                </c:dPt>
                <c:dPt>
                  <c:idx val="14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E1-E1EB-456A-BEBE-EF697796FB60}"/>
                    </c:ext>
                  </c:extLst>
                </c:dPt>
                <c:dPt>
                  <c:idx val="14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E3-E1EB-456A-BEBE-EF697796FB60}"/>
                    </c:ext>
                  </c:extLst>
                </c:dPt>
                <c:dPt>
                  <c:idx val="14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E5-E1EB-456A-BEBE-EF697796FB60}"/>
                    </c:ext>
                  </c:extLst>
                </c:dPt>
                <c:dPt>
                  <c:idx val="15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E7-E1EB-456A-BEBE-EF697796FB60}"/>
                    </c:ext>
                  </c:extLst>
                </c:dPt>
                <c:dPt>
                  <c:idx val="15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E9-E1EB-456A-BEBE-EF697796FB60}"/>
                    </c:ext>
                  </c:extLst>
                </c:dPt>
                <c:dPt>
                  <c:idx val="15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EB-E1EB-456A-BEBE-EF697796FB60}"/>
                    </c:ext>
                  </c:extLst>
                </c:dPt>
                <c:dPt>
                  <c:idx val="15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ED-E1EB-456A-BEBE-EF697796FB60}"/>
                    </c:ext>
                  </c:extLst>
                </c:dPt>
                <c:dPt>
                  <c:idx val="15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EF-E1EB-456A-BEBE-EF697796FB60}"/>
                    </c:ext>
                  </c:extLst>
                </c:dPt>
                <c:dPt>
                  <c:idx val="15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F1-E1EB-456A-BEBE-EF697796FB60}"/>
                    </c:ext>
                  </c:extLst>
                </c:dPt>
                <c:dPt>
                  <c:idx val="15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F3-E1EB-456A-BEBE-EF697796FB60}"/>
                    </c:ext>
                  </c:extLst>
                </c:dPt>
                <c:dPt>
                  <c:idx val="15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F5-E1EB-456A-BEBE-EF697796FB60}"/>
                    </c:ext>
                  </c:extLst>
                </c:dPt>
                <c:dPt>
                  <c:idx val="15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F7-E1EB-456A-BEBE-EF697796FB60}"/>
                    </c:ext>
                  </c:extLst>
                </c:dPt>
                <c:dPt>
                  <c:idx val="15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F9-E1EB-456A-BEBE-EF697796FB60}"/>
                    </c:ext>
                  </c:extLst>
                </c:dPt>
                <c:dPt>
                  <c:idx val="16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FB-E1EB-456A-BEBE-EF697796FB60}"/>
                    </c:ext>
                  </c:extLst>
                </c:dPt>
                <c:dPt>
                  <c:idx val="16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FD-E1EB-456A-BEBE-EF697796FB60}"/>
                    </c:ext>
                  </c:extLst>
                </c:dPt>
                <c:dPt>
                  <c:idx val="16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FF-E1EB-456A-BEBE-EF697796FB60}"/>
                    </c:ext>
                  </c:extLst>
                </c:dPt>
                <c:dPt>
                  <c:idx val="16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01-E1EB-456A-BEBE-EF697796FB60}"/>
                    </c:ext>
                  </c:extLst>
                </c:dPt>
                <c:dPt>
                  <c:idx val="16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03-E1EB-456A-BEBE-EF697796FB60}"/>
                    </c:ext>
                  </c:extLst>
                </c:dPt>
                <c:dPt>
                  <c:idx val="16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05-E1EB-456A-BEBE-EF697796FB60}"/>
                    </c:ext>
                  </c:extLst>
                </c:dPt>
                <c:dPt>
                  <c:idx val="16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07-E1EB-456A-BEBE-EF697796FB60}"/>
                    </c:ext>
                  </c:extLst>
                </c:dPt>
                <c:dPt>
                  <c:idx val="16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09-E1EB-456A-BEBE-EF697796FB60}"/>
                    </c:ext>
                  </c:extLst>
                </c:dPt>
                <c:dPt>
                  <c:idx val="16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0B-E1EB-456A-BEBE-EF697796FB60}"/>
                    </c:ext>
                  </c:extLst>
                </c:dPt>
                <c:dPt>
                  <c:idx val="16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0D-E1EB-456A-BEBE-EF697796FB60}"/>
                    </c:ext>
                  </c:extLst>
                </c:dPt>
                <c:dPt>
                  <c:idx val="17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0F-E1EB-456A-BEBE-EF697796FB60}"/>
                    </c:ext>
                  </c:extLst>
                </c:dPt>
                <c:dPt>
                  <c:idx val="17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11-E1EB-456A-BEBE-EF697796FB60}"/>
                    </c:ext>
                  </c:extLst>
                </c:dPt>
                <c:dPt>
                  <c:idx val="17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13-E1EB-456A-BEBE-EF697796FB60}"/>
                    </c:ext>
                  </c:extLst>
                </c:dPt>
                <c:dPt>
                  <c:idx val="17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15-E1EB-456A-BEBE-EF697796FB60}"/>
                    </c:ext>
                  </c:extLst>
                </c:dPt>
                <c:dPt>
                  <c:idx val="17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17-E1EB-456A-BEBE-EF697796FB60}"/>
                    </c:ext>
                  </c:extLst>
                </c:dPt>
                <c:dPt>
                  <c:idx val="17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19-E1EB-456A-BEBE-EF697796FB60}"/>
                    </c:ext>
                  </c:extLst>
                </c:dPt>
                <c:dPt>
                  <c:idx val="17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1B-E1EB-456A-BEBE-EF697796FB60}"/>
                    </c:ext>
                  </c:extLst>
                </c:dPt>
                <c:dPt>
                  <c:idx val="17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1D-E1EB-456A-BEBE-EF697796FB60}"/>
                    </c:ext>
                  </c:extLst>
                </c:dPt>
                <c:dPt>
                  <c:idx val="17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1F-E1EB-456A-BEBE-EF697796FB60}"/>
                    </c:ext>
                  </c:extLst>
                </c:dPt>
                <c:dPt>
                  <c:idx val="17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21-E1EB-456A-BEBE-EF697796FB60}"/>
                    </c:ext>
                  </c:extLst>
                </c:dPt>
                <c:dPt>
                  <c:idx val="18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23-E1EB-456A-BEBE-EF697796FB60}"/>
                    </c:ext>
                  </c:extLst>
                </c:dPt>
                <c:dPt>
                  <c:idx val="18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25-E1EB-456A-BEBE-EF697796FB60}"/>
                    </c:ext>
                  </c:extLst>
                </c:dPt>
                <c:dPt>
                  <c:idx val="18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27-E1EB-456A-BEBE-EF697796FB60}"/>
                    </c:ext>
                  </c:extLst>
                </c:dPt>
                <c:dPt>
                  <c:idx val="18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29-E1EB-456A-BEBE-EF697796FB60}"/>
                    </c:ext>
                  </c:extLst>
                </c:dPt>
                <c:dPt>
                  <c:idx val="18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2B-E1EB-456A-BEBE-EF697796FB60}"/>
                    </c:ext>
                  </c:extLst>
                </c:dPt>
                <c:dPt>
                  <c:idx val="18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2D-E1EB-456A-BEBE-EF697796FB60}"/>
                    </c:ext>
                  </c:extLst>
                </c:dPt>
                <c:dPt>
                  <c:idx val="18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2F-E1EB-456A-BEBE-EF697796FB60}"/>
                    </c:ext>
                  </c:extLst>
                </c:dPt>
                <c:dPt>
                  <c:idx val="18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31-E1EB-456A-BEBE-EF697796FB60}"/>
                    </c:ext>
                  </c:extLst>
                </c:dPt>
                <c:dPt>
                  <c:idx val="18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33-E1EB-456A-BEBE-EF697796FB60}"/>
                    </c:ext>
                  </c:extLst>
                </c:dPt>
                <c:dPt>
                  <c:idx val="18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35-E1EB-456A-BEBE-EF697796FB60}"/>
                    </c:ext>
                  </c:extLst>
                </c:dPt>
                <c:dPt>
                  <c:idx val="19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37-E1EB-456A-BEBE-EF697796FB60}"/>
                    </c:ext>
                  </c:extLst>
                </c:dPt>
                <c:dPt>
                  <c:idx val="19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39-E1EB-456A-BEBE-EF697796FB60}"/>
                    </c:ext>
                  </c:extLst>
                </c:dPt>
                <c:dPt>
                  <c:idx val="19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3B-E1EB-456A-BEBE-EF697796FB60}"/>
                    </c:ext>
                  </c:extLst>
                </c:dPt>
                <c:dPt>
                  <c:idx val="19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3D-E1EB-456A-BEBE-EF697796FB60}"/>
                    </c:ext>
                  </c:extLst>
                </c:dPt>
                <c:dPt>
                  <c:idx val="19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3F-E1EB-456A-BEBE-EF697796FB60}"/>
                    </c:ext>
                  </c:extLst>
                </c:dPt>
                <c:dPt>
                  <c:idx val="19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41-E1EB-456A-BEBE-EF697796FB60}"/>
                    </c:ext>
                  </c:extLst>
                </c:dPt>
                <c:dPt>
                  <c:idx val="19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43-E1EB-456A-BEBE-EF697796FB60}"/>
                    </c:ext>
                  </c:extLst>
                </c:dPt>
                <c:dPt>
                  <c:idx val="19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45-E1EB-456A-BEBE-EF697796FB60}"/>
                    </c:ext>
                  </c:extLst>
                </c:dPt>
                <c:dPt>
                  <c:idx val="19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47-E1EB-456A-BEBE-EF697796FB60}"/>
                    </c:ext>
                  </c:extLst>
                </c:dPt>
                <c:dPt>
                  <c:idx val="19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49-E1EB-456A-BEBE-EF697796FB60}"/>
                    </c:ext>
                  </c:extLst>
                </c:dPt>
                <c:dPt>
                  <c:idx val="20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4B-E1EB-456A-BEBE-EF697796FB60}"/>
                    </c:ext>
                  </c:extLst>
                </c:dPt>
                <c:dPt>
                  <c:idx val="20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4D-E1EB-456A-BEBE-EF697796FB60}"/>
                    </c:ext>
                  </c:extLst>
                </c:dPt>
                <c:dPt>
                  <c:idx val="20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4F-E1EB-456A-BEBE-EF697796FB60}"/>
                    </c:ext>
                  </c:extLst>
                </c:dPt>
                <c:dPt>
                  <c:idx val="20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51-E1EB-456A-BEBE-EF697796FB60}"/>
                    </c:ext>
                  </c:extLst>
                </c:dPt>
                <c:dPt>
                  <c:idx val="20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53-E1EB-456A-BEBE-EF697796FB60}"/>
                    </c:ext>
                  </c:extLst>
                </c:dPt>
                <c:dPt>
                  <c:idx val="20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55-E1EB-456A-BEBE-EF697796FB60}"/>
                    </c:ext>
                  </c:extLst>
                </c:dPt>
                <c:dPt>
                  <c:idx val="20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57-E1EB-456A-BEBE-EF697796FB60}"/>
                    </c:ext>
                  </c:extLst>
                </c:dPt>
                <c:dPt>
                  <c:idx val="20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59-E1EB-456A-BEBE-EF697796FB60}"/>
                    </c:ext>
                  </c:extLst>
                </c:dPt>
                <c:dPt>
                  <c:idx val="20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5B-E1EB-456A-BEBE-EF697796FB60}"/>
                    </c:ext>
                  </c:extLst>
                </c:dPt>
                <c:dPt>
                  <c:idx val="20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5D-E1EB-456A-BEBE-EF697796FB60}"/>
                    </c:ext>
                  </c:extLst>
                </c:dPt>
                <c:dPt>
                  <c:idx val="21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5F-E1EB-456A-BEBE-EF697796FB60}"/>
                    </c:ext>
                  </c:extLst>
                </c:dPt>
                <c:dPt>
                  <c:idx val="21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61-E1EB-456A-BEBE-EF697796FB60}"/>
                    </c:ext>
                  </c:extLst>
                </c:dPt>
                <c:dPt>
                  <c:idx val="21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63-E1EB-456A-BEBE-EF697796FB60}"/>
                    </c:ext>
                  </c:extLst>
                </c:dPt>
                <c:dPt>
                  <c:idx val="21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65-E1EB-456A-BEBE-EF697796FB60}"/>
                    </c:ext>
                  </c:extLst>
                </c:dPt>
                <c:dPt>
                  <c:idx val="21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67-E1EB-456A-BEBE-EF697796FB60}"/>
                    </c:ext>
                  </c:extLst>
                </c:dPt>
                <c:dPt>
                  <c:idx val="21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69-E1EB-456A-BEBE-EF697796FB60}"/>
                    </c:ext>
                  </c:extLst>
                </c:dPt>
                <c:dPt>
                  <c:idx val="21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6B-E1EB-456A-BEBE-EF697796FB60}"/>
                    </c:ext>
                  </c:extLst>
                </c:dPt>
                <c:dPt>
                  <c:idx val="21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6D-E1EB-456A-BEBE-EF697796FB60}"/>
                    </c:ext>
                  </c:extLst>
                </c:dPt>
                <c:dPt>
                  <c:idx val="21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6F-E1EB-456A-BEBE-EF697796FB60}"/>
                    </c:ext>
                  </c:extLst>
                </c:dPt>
                <c:dPt>
                  <c:idx val="21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71-E1EB-456A-BEBE-EF697796FB60}"/>
                    </c:ext>
                  </c:extLst>
                </c:dPt>
                <c:dPt>
                  <c:idx val="22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73-E1EB-456A-BEBE-EF697796FB60}"/>
                    </c:ext>
                  </c:extLst>
                </c:dPt>
                <c:dPt>
                  <c:idx val="22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75-E1EB-456A-BEBE-EF697796FB60}"/>
                    </c:ext>
                  </c:extLst>
                </c:dPt>
                <c:dPt>
                  <c:idx val="22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77-E1EB-456A-BEBE-EF697796FB60}"/>
                    </c:ext>
                  </c:extLst>
                </c:dPt>
                <c:dPt>
                  <c:idx val="22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79-E1EB-456A-BEBE-EF697796FB60}"/>
                    </c:ext>
                  </c:extLst>
                </c:dPt>
                <c:dPt>
                  <c:idx val="22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7B-E1EB-456A-BEBE-EF697796FB60}"/>
                    </c:ext>
                  </c:extLst>
                </c:dPt>
                <c:dPt>
                  <c:idx val="22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7D-E1EB-456A-BEBE-EF697796FB60}"/>
                    </c:ext>
                  </c:extLst>
                </c:dPt>
                <c:dPt>
                  <c:idx val="22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7F-E1EB-456A-BEBE-EF697796FB60}"/>
                    </c:ext>
                  </c:extLst>
                </c:dPt>
                <c:dPt>
                  <c:idx val="22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81-E1EB-456A-BEBE-EF697796FB60}"/>
                    </c:ext>
                  </c:extLst>
                </c:dPt>
                <c:dPt>
                  <c:idx val="22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83-E1EB-456A-BEBE-EF697796FB60}"/>
                    </c:ext>
                  </c:extLst>
                </c:dPt>
                <c:dPt>
                  <c:idx val="22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85-E1EB-456A-BEBE-EF697796FB60}"/>
                    </c:ext>
                  </c:extLst>
                </c:dPt>
                <c:dPt>
                  <c:idx val="23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87-E1EB-456A-BEBE-EF697796FB60}"/>
                    </c:ext>
                  </c:extLst>
                </c:dPt>
                <c:dPt>
                  <c:idx val="23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89-E1EB-456A-BEBE-EF697796FB60}"/>
                    </c:ext>
                  </c:extLst>
                </c:dPt>
                <c:dPt>
                  <c:idx val="23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8B-E1EB-456A-BEBE-EF697796FB60}"/>
                    </c:ext>
                  </c:extLst>
                </c:dPt>
                <c:dPt>
                  <c:idx val="23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8D-E1EB-456A-BEBE-EF697796FB60}"/>
                    </c:ext>
                  </c:extLst>
                </c:dPt>
                <c:dPt>
                  <c:idx val="23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8F-E1EB-456A-BEBE-EF697796FB60}"/>
                    </c:ext>
                  </c:extLst>
                </c:dPt>
                <c:dPt>
                  <c:idx val="23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91-E1EB-456A-BEBE-EF697796FB60}"/>
                    </c:ext>
                  </c:extLst>
                </c:dPt>
                <c:dPt>
                  <c:idx val="23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93-E1EB-456A-BEBE-EF697796FB60}"/>
                    </c:ext>
                  </c:extLst>
                </c:dPt>
                <c:dPt>
                  <c:idx val="23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95-E1EB-456A-BEBE-EF697796FB60}"/>
                    </c:ext>
                  </c:extLst>
                </c:dPt>
                <c:dPt>
                  <c:idx val="23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97-E1EB-456A-BEBE-EF697796FB60}"/>
                    </c:ext>
                  </c:extLst>
                </c:dPt>
                <c:dPt>
                  <c:idx val="23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99-E1EB-456A-BEBE-EF697796FB60}"/>
                    </c:ext>
                  </c:extLst>
                </c:dPt>
                <c:dPt>
                  <c:idx val="24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9B-E1EB-456A-BEBE-EF697796FB60}"/>
                    </c:ext>
                  </c:extLst>
                </c:dPt>
                <c:dPt>
                  <c:idx val="24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9D-E1EB-456A-BEBE-EF697796FB60}"/>
                    </c:ext>
                  </c:extLst>
                </c:dPt>
                <c:dPt>
                  <c:idx val="24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9F-E1EB-456A-BEBE-EF697796FB60}"/>
                    </c:ext>
                  </c:extLst>
                </c:dPt>
                <c:dPt>
                  <c:idx val="24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A1-E1EB-456A-BEBE-EF697796FB60}"/>
                    </c:ext>
                  </c:extLst>
                </c:dPt>
                <c:dPt>
                  <c:idx val="24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A3-E1EB-456A-BEBE-EF697796FB60}"/>
                    </c:ext>
                  </c:extLst>
                </c:dPt>
                <c:dPt>
                  <c:idx val="24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A5-E1EB-456A-BEBE-EF697796FB60}"/>
                    </c:ext>
                  </c:extLst>
                </c:dPt>
                <c:dPt>
                  <c:idx val="24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A7-E1EB-456A-BEBE-EF697796FB60}"/>
                    </c:ext>
                  </c:extLst>
                </c:dPt>
                <c:dPt>
                  <c:idx val="24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A9-E1EB-456A-BEBE-EF697796FB60}"/>
                    </c:ext>
                  </c:extLst>
                </c:dPt>
                <c:dPt>
                  <c:idx val="24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AB-E1EB-456A-BEBE-EF697796FB60}"/>
                    </c:ext>
                  </c:extLst>
                </c:dPt>
                <c:dPt>
                  <c:idx val="24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AD-E1EB-456A-BEBE-EF697796FB60}"/>
                    </c:ext>
                  </c:extLst>
                </c:dPt>
                <c:dPt>
                  <c:idx val="25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AF-E1EB-456A-BEBE-EF697796FB60}"/>
                    </c:ext>
                  </c:extLst>
                </c:dPt>
                <c:dPt>
                  <c:idx val="25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B1-E1EB-456A-BEBE-EF697796FB60}"/>
                    </c:ext>
                  </c:extLst>
                </c:dPt>
                <c:dPt>
                  <c:idx val="25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B3-E1EB-456A-BEBE-EF697796FB60}"/>
                    </c:ext>
                  </c:extLst>
                </c:dPt>
                <c:dPt>
                  <c:idx val="25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B5-E1EB-456A-BEBE-EF697796FB60}"/>
                    </c:ext>
                  </c:extLst>
                </c:dPt>
                <c:dPt>
                  <c:idx val="25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B7-E1EB-456A-BEBE-EF697796FB60}"/>
                    </c:ext>
                  </c:extLst>
                </c:dPt>
                <c:dPt>
                  <c:idx val="25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B9-E1EB-456A-BEBE-EF697796FB60}"/>
                    </c:ext>
                  </c:extLst>
                </c:dPt>
                <c:dPt>
                  <c:idx val="25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BB-E1EB-456A-BEBE-EF697796FB60}"/>
                    </c:ext>
                  </c:extLst>
                </c:dPt>
                <c:dPt>
                  <c:idx val="25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BD-E1EB-456A-BEBE-EF697796FB60}"/>
                    </c:ext>
                  </c:extLst>
                </c:dPt>
                <c:dPt>
                  <c:idx val="25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BF-E1EB-456A-BEBE-EF697796FB60}"/>
                    </c:ext>
                  </c:extLst>
                </c:dPt>
                <c:dPt>
                  <c:idx val="25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C1-E1EB-456A-BEBE-EF697796FB60}"/>
                    </c:ext>
                  </c:extLst>
                </c:dPt>
                <c:dPt>
                  <c:idx val="26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C3-E1EB-456A-BEBE-EF697796FB60}"/>
                    </c:ext>
                  </c:extLst>
                </c:dPt>
                <c:dPt>
                  <c:idx val="26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C5-E1EB-456A-BEBE-EF697796FB60}"/>
                    </c:ext>
                  </c:extLst>
                </c:dPt>
                <c:dPt>
                  <c:idx val="26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C7-E1EB-456A-BEBE-EF697796FB60}"/>
                    </c:ext>
                  </c:extLst>
                </c:dPt>
                <c:dPt>
                  <c:idx val="26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C9-E1EB-456A-BEBE-EF697796FB60}"/>
                    </c:ext>
                  </c:extLst>
                </c:dPt>
                <c:dPt>
                  <c:idx val="26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CB-E1EB-456A-BEBE-EF697796FB60}"/>
                    </c:ext>
                  </c:extLst>
                </c:dPt>
                <c:dPt>
                  <c:idx val="26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CD-E1EB-456A-BEBE-EF697796FB60}"/>
                    </c:ext>
                  </c:extLst>
                </c:dPt>
                <c:dPt>
                  <c:idx val="26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CF-E1EB-456A-BEBE-EF697796FB60}"/>
                    </c:ext>
                  </c:extLst>
                </c:dPt>
                <c:dPt>
                  <c:idx val="26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D1-E1EB-456A-BEBE-EF697796FB60}"/>
                    </c:ext>
                  </c:extLst>
                </c:dPt>
                <c:dPt>
                  <c:idx val="26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D3-E1EB-456A-BEBE-EF697796FB60}"/>
                    </c:ext>
                  </c:extLst>
                </c:dPt>
                <c:dPt>
                  <c:idx val="26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D5-E1EB-456A-BEBE-EF697796FB60}"/>
                    </c:ext>
                  </c:extLst>
                </c:dPt>
                <c:dPt>
                  <c:idx val="27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D7-E1EB-456A-BEBE-EF697796FB60}"/>
                    </c:ext>
                  </c:extLst>
                </c:dPt>
                <c:dPt>
                  <c:idx val="27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D9-E1EB-456A-BEBE-EF697796FB60}"/>
                    </c:ext>
                  </c:extLst>
                </c:dPt>
                <c:dPt>
                  <c:idx val="27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DB-E1EB-456A-BEBE-EF697796FB60}"/>
                    </c:ext>
                  </c:extLst>
                </c:dPt>
                <c:dPt>
                  <c:idx val="27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DD-E1EB-456A-BEBE-EF697796FB60}"/>
                    </c:ext>
                  </c:extLst>
                </c:dPt>
                <c:dPt>
                  <c:idx val="27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DF-E1EB-456A-BEBE-EF697796FB60}"/>
                    </c:ext>
                  </c:extLst>
                </c:dPt>
                <c:dPt>
                  <c:idx val="27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E1-E1EB-456A-BEBE-EF697796FB60}"/>
                    </c:ext>
                  </c:extLst>
                </c:dPt>
                <c:dPt>
                  <c:idx val="27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E3-E1EB-456A-BEBE-EF697796FB60}"/>
                    </c:ext>
                  </c:extLst>
                </c:dPt>
                <c:dPt>
                  <c:idx val="27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E5-E1EB-456A-BEBE-EF697796FB60}"/>
                    </c:ext>
                  </c:extLst>
                </c:dPt>
                <c:dPt>
                  <c:idx val="27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E7-E1EB-456A-BEBE-EF697796FB60}"/>
                    </c:ext>
                  </c:extLst>
                </c:dPt>
                <c:dPt>
                  <c:idx val="27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E9-E1EB-456A-BEBE-EF697796FB60}"/>
                    </c:ext>
                  </c:extLst>
                </c:dPt>
                <c:dPt>
                  <c:idx val="28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EB-E1EB-456A-BEBE-EF697796FB60}"/>
                    </c:ext>
                  </c:extLst>
                </c:dPt>
                <c:dPt>
                  <c:idx val="28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ED-E1EB-456A-BEBE-EF697796FB60}"/>
                    </c:ext>
                  </c:extLst>
                </c:dPt>
                <c:dPt>
                  <c:idx val="28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EF-E1EB-456A-BEBE-EF697796FB60}"/>
                    </c:ext>
                  </c:extLst>
                </c:dPt>
                <c:dPt>
                  <c:idx val="28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F1-E1EB-456A-BEBE-EF697796FB60}"/>
                    </c:ext>
                  </c:extLst>
                </c:dPt>
                <c:dPt>
                  <c:idx val="28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F3-E1EB-456A-BEBE-EF697796FB60}"/>
                    </c:ext>
                  </c:extLst>
                </c:dPt>
                <c:dPt>
                  <c:idx val="28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F5-E1EB-456A-BEBE-EF697796FB60}"/>
                    </c:ext>
                  </c:extLst>
                </c:dPt>
                <c:dPt>
                  <c:idx val="28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F7-E1EB-456A-BEBE-EF697796FB60}"/>
                    </c:ext>
                  </c:extLst>
                </c:dPt>
                <c:dPt>
                  <c:idx val="28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F9-E1EB-456A-BEBE-EF697796FB60}"/>
                    </c:ext>
                  </c:extLst>
                </c:dPt>
                <c:dPt>
                  <c:idx val="28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FB-E1EB-456A-BEBE-EF697796FB60}"/>
                    </c:ext>
                  </c:extLst>
                </c:dPt>
                <c:dPt>
                  <c:idx val="28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FD-E1EB-456A-BEBE-EF697796FB60}"/>
                    </c:ext>
                  </c:extLst>
                </c:dPt>
                <c:dPt>
                  <c:idx val="29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FF-E1EB-456A-BEBE-EF697796FB60}"/>
                    </c:ext>
                  </c:extLst>
                </c:dPt>
                <c:dPt>
                  <c:idx val="29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01-E1EB-456A-BEBE-EF697796FB60}"/>
                    </c:ext>
                  </c:extLst>
                </c:dPt>
                <c:dPt>
                  <c:idx val="29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03-E1EB-456A-BEBE-EF697796FB60}"/>
                    </c:ext>
                  </c:extLst>
                </c:dPt>
                <c:dPt>
                  <c:idx val="29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05-E1EB-456A-BEBE-EF697796FB60}"/>
                    </c:ext>
                  </c:extLst>
                </c:dPt>
                <c:dPt>
                  <c:idx val="29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07-E1EB-456A-BEBE-EF697796FB60}"/>
                    </c:ext>
                  </c:extLst>
                </c:dPt>
                <c:dPt>
                  <c:idx val="29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09-E1EB-456A-BEBE-EF697796FB60}"/>
                    </c:ext>
                  </c:extLst>
                </c:dPt>
                <c:dPt>
                  <c:idx val="29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0B-E1EB-456A-BEBE-EF697796FB60}"/>
                    </c:ext>
                  </c:extLst>
                </c:dPt>
                <c:dPt>
                  <c:idx val="29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0D-E1EB-456A-BEBE-EF697796FB60}"/>
                    </c:ext>
                  </c:extLst>
                </c:dPt>
                <c:dPt>
                  <c:idx val="29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0F-E1EB-456A-BEBE-EF697796FB60}"/>
                    </c:ext>
                  </c:extLst>
                </c:dPt>
                <c:dPt>
                  <c:idx val="29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11-E1EB-456A-BEBE-EF697796FB60}"/>
                    </c:ext>
                  </c:extLst>
                </c:dPt>
                <c:dPt>
                  <c:idx val="30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13-E1EB-456A-BEBE-EF697796FB60}"/>
                    </c:ext>
                  </c:extLst>
                </c:dPt>
                <c:dPt>
                  <c:idx val="30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15-E1EB-456A-BEBE-EF697796FB60}"/>
                    </c:ext>
                  </c:extLst>
                </c:dPt>
                <c:dPt>
                  <c:idx val="30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17-E1EB-456A-BEBE-EF697796FB60}"/>
                    </c:ext>
                  </c:extLst>
                </c:dPt>
                <c:dPt>
                  <c:idx val="30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19-E1EB-456A-BEBE-EF697796FB60}"/>
                    </c:ext>
                  </c:extLst>
                </c:dPt>
                <c:dPt>
                  <c:idx val="30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1B-E1EB-456A-BEBE-EF697796FB60}"/>
                    </c:ext>
                  </c:extLst>
                </c:dPt>
                <c:dPt>
                  <c:idx val="30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1D-E1EB-456A-BEBE-EF697796FB60}"/>
                    </c:ext>
                  </c:extLst>
                </c:dPt>
                <c:dPt>
                  <c:idx val="30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1F-E1EB-456A-BEBE-EF697796FB60}"/>
                    </c:ext>
                  </c:extLst>
                </c:dPt>
                <c:dPt>
                  <c:idx val="30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21-E1EB-456A-BEBE-EF697796FB60}"/>
                    </c:ext>
                  </c:extLst>
                </c:dPt>
                <c:dPt>
                  <c:idx val="30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23-E1EB-456A-BEBE-EF697796FB60}"/>
                    </c:ext>
                  </c:extLst>
                </c:dPt>
                <c:dPt>
                  <c:idx val="30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25-E1EB-456A-BEBE-EF697796FB60}"/>
                    </c:ext>
                  </c:extLst>
                </c:dPt>
                <c:dPt>
                  <c:idx val="31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27-E1EB-456A-BEBE-EF697796FB60}"/>
                    </c:ext>
                  </c:extLst>
                </c:dPt>
                <c:dPt>
                  <c:idx val="31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29-E1EB-456A-BEBE-EF697796FB60}"/>
                    </c:ext>
                  </c:extLst>
                </c:dPt>
                <c:dPt>
                  <c:idx val="31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2B-E1EB-456A-BEBE-EF697796FB60}"/>
                    </c:ext>
                  </c:extLst>
                </c:dPt>
                <c:dPt>
                  <c:idx val="31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2D-E1EB-456A-BEBE-EF697796FB60}"/>
                    </c:ext>
                  </c:extLst>
                </c:dPt>
                <c:dPt>
                  <c:idx val="31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2F-E1EB-456A-BEBE-EF697796FB60}"/>
                    </c:ext>
                  </c:extLst>
                </c:dPt>
                <c:dPt>
                  <c:idx val="31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31-E1EB-456A-BEBE-EF697796FB60}"/>
                    </c:ext>
                  </c:extLst>
                </c:dPt>
                <c:dPt>
                  <c:idx val="31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33-E1EB-456A-BEBE-EF697796FB60}"/>
                    </c:ext>
                  </c:extLst>
                </c:dPt>
                <c:dPt>
                  <c:idx val="31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35-E1EB-456A-BEBE-EF697796FB60}"/>
                    </c:ext>
                  </c:extLst>
                </c:dPt>
                <c:dPt>
                  <c:idx val="31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37-E1EB-456A-BEBE-EF697796FB60}"/>
                    </c:ext>
                  </c:extLst>
                </c:dPt>
                <c:dPt>
                  <c:idx val="31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39-E1EB-456A-BEBE-EF697796FB60}"/>
                    </c:ext>
                  </c:extLst>
                </c:dPt>
                <c:dPt>
                  <c:idx val="32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3B-E1EB-456A-BEBE-EF697796FB60}"/>
                    </c:ext>
                  </c:extLst>
                </c:dPt>
                <c:dPt>
                  <c:idx val="32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3D-E1EB-456A-BEBE-EF697796FB60}"/>
                    </c:ext>
                  </c:extLst>
                </c:dPt>
                <c:dPt>
                  <c:idx val="32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3F-E1EB-456A-BEBE-EF697796FB60}"/>
                    </c:ext>
                  </c:extLst>
                </c:dPt>
                <c:dPt>
                  <c:idx val="32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41-E1EB-456A-BEBE-EF697796FB60}"/>
                    </c:ext>
                  </c:extLst>
                </c:dPt>
                <c:dPt>
                  <c:idx val="32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43-E1EB-456A-BEBE-EF697796FB60}"/>
                    </c:ext>
                  </c:extLst>
                </c:dPt>
                <c:dPt>
                  <c:idx val="32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45-E1EB-456A-BEBE-EF697796FB60}"/>
                    </c:ext>
                  </c:extLst>
                </c:dPt>
                <c:dPt>
                  <c:idx val="32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47-E1EB-456A-BEBE-EF697796FB60}"/>
                    </c:ext>
                  </c:extLst>
                </c:dPt>
                <c:dPt>
                  <c:idx val="32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49-E1EB-456A-BEBE-EF697796FB60}"/>
                    </c:ext>
                  </c:extLst>
                </c:dPt>
                <c:dPt>
                  <c:idx val="32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4B-E1EB-456A-BEBE-EF697796FB60}"/>
                    </c:ext>
                  </c:extLst>
                </c:dPt>
                <c:dPt>
                  <c:idx val="32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4D-E1EB-456A-BEBE-EF697796FB60}"/>
                    </c:ext>
                  </c:extLst>
                </c:dPt>
                <c:dPt>
                  <c:idx val="33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4F-E1EB-456A-BEBE-EF697796FB60}"/>
                    </c:ext>
                  </c:extLst>
                </c:dPt>
                <c:dPt>
                  <c:idx val="33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51-E1EB-456A-BEBE-EF697796FB60}"/>
                    </c:ext>
                  </c:extLst>
                </c:dPt>
                <c:dPt>
                  <c:idx val="33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53-E1EB-456A-BEBE-EF697796FB60}"/>
                    </c:ext>
                  </c:extLst>
                </c:dPt>
                <c:dPt>
                  <c:idx val="33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55-E1EB-456A-BEBE-EF697796FB60}"/>
                    </c:ext>
                  </c:extLst>
                </c:dPt>
                <c:dPt>
                  <c:idx val="33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57-E1EB-456A-BEBE-EF697796FB60}"/>
                    </c:ext>
                  </c:extLst>
                </c:dPt>
                <c:dPt>
                  <c:idx val="33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59-E1EB-456A-BEBE-EF697796FB60}"/>
                    </c:ext>
                  </c:extLst>
                </c:dPt>
                <c:dPt>
                  <c:idx val="33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5B-E1EB-456A-BEBE-EF697796FB60}"/>
                    </c:ext>
                  </c:extLst>
                </c:dPt>
                <c:dPt>
                  <c:idx val="33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5D-E1EB-456A-BEBE-EF697796FB60}"/>
                    </c:ext>
                  </c:extLst>
                </c:dPt>
                <c:dPt>
                  <c:idx val="33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5F-E1EB-456A-BEBE-EF697796FB60}"/>
                    </c:ext>
                  </c:extLst>
                </c:dPt>
                <c:dPt>
                  <c:idx val="33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61-E1EB-456A-BEBE-EF697796FB60}"/>
                    </c:ext>
                  </c:extLst>
                </c:dPt>
                <c:dPt>
                  <c:idx val="34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63-E1EB-456A-BEBE-EF697796FB60}"/>
                    </c:ext>
                  </c:extLst>
                </c:dPt>
                <c:dPt>
                  <c:idx val="34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65-E1EB-456A-BEBE-EF697796FB60}"/>
                    </c:ext>
                  </c:extLst>
                </c:dPt>
                <c:dPt>
                  <c:idx val="34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67-E1EB-456A-BEBE-EF697796FB60}"/>
                    </c:ext>
                  </c:extLst>
                </c:dPt>
                <c:dPt>
                  <c:idx val="34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69-E1EB-456A-BEBE-EF697796FB60}"/>
                    </c:ext>
                  </c:extLst>
                </c:dPt>
                <c:dPt>
                  <c:idx val="34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6B-E1EB-456A-BEBE-EF697796FB60}"/>
                    </c:ext>
                  </c:extLst>
                </c:dPt>
                <c:dPt>
                  <c:idx val="34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6D-E1EB-456A-BEBE-EF697796FB60}"/>
                    </c:ext>
                  </c:extLst>
                </c:dPt>
                <c:dPt>
                  <c:idx val="34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6F-E1EB-456A-BEBE-EF697796FB60}"/>
                    </c:ext>
                  </c:extLst>
                </c:dPt>
                <c:dPt>
                  <c:idx val="34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71-E1EB-456A-BEBE-EF697796FB60}"/>
                    </c:ext>
                  </c:extLst>
                </c:dPt>
                <c:dPt>
                  <c:idx val="34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73-E1EB-456A-BEBE-EF697796FB60}"/>
                    </c:ext>
                  </c:extLst>
                </c:dPt>
                <c:dPt>
                  <c:idx val="34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75-E1EB-456A-BEBE-EF697796FB60}"/>
                    </c:ext>
                  </c:extLst>
                </c:dPt>
                <c:dPt>
                  <c:idx val="35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77-E1EB-456A-BEBE-EF697796FB60}"/>
                    </c:ext>
                  </c:extLst>
                </c:dPt>
                <c:dPt>
                  <c:idx val="35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79-E1EB-456A-BEBE-EF697796FB60}"/>
                    </c:ext>
                  </c:extLst>
                </c:dPt>
                <c:dPt>
                  <c:idx val="35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7B-E1EB-456A-BEBE-EF697796FB60}"/>
                    </c:ext>
                  </c:extLst>
                </c:dPt>
                <c:dPt>
                  <c:idx val="35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7D-E1EB-456A-BEBE-EF697796FB60}"/>
                    </c:ext>
                  </c:extLst>
                </c:dPt>
                <c:dPt>
                  <c:idx val="35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7F-E1EB-456A-BEBE-EF697796FB60}"/>
                    </c:ext>
                  </c:extLst>
                </c:dPt>
                <c:dPt>
                  <c:idx val="35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81-E1EB-456A-BEBE-EF697796FB60}"/>
                    </c:ext>
                  </c:extLst>
                </c:dPt>
                <c:dPt>
                  <c:idx val="35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83-E1EB-456A-BEBE-EF697796FB60}"/>
                    </c:ext>
                  </c:extLst>
                </c:dPt>
                <c:dPt>
                  <c:idx val="35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85-E1EB-456A-BEBE-EF697796FB60}"/>
                    </c:ext>
                  </c:extLst>
                </c:dPt>
                <c:dPt>
                  <c:idx val="35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87-E1EB-456A-BEBE-EF697796FB60}"/>
                    </c:ext>
                  </c:extLst>
                </c:dPt>
                <c:dPt>
                  <c:idx val="35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89-E1EB-456A-BEBE-EF697796FB60}"/>
                    </c:ext>
                  </c:extLst>
                </c:dPt>
                <c:dPt>
                  <c:idx val="36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8B-E1EB-456A-BEBE-EF697796FB60}"/>
                    </c:ext>
                  </c:extLst>
                </c:dPt>
                <c:dPt>
                  <c:idx val="36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8D-E1EB-456A-BEBE-EF697796FB60}"/>
                    </c:ext>
                  </c:extLst>
                </c:dPt>
                <c:dPt>
                  <c:idx val="36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8F-E1EB-456A-BEBE-EF697796FB60}"/>
                    </c:ext>
                  </c:extLst>
                </c:dPt>
                <c:dPt>
                  <c:idx val="36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91-E1EB-456A-BEBE-EF697796FB60}"/>
                    </c:ext>
                  </c:extLst>
                </c:dPt>
                <c:dPt>
                  <c:idx val="36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93-E1EB-456A-BEBE-EF697796FB60}"/>
                    </c:ext>
                  </c:extLst>
                </c:dPt>
                <c:dPt>
                  <c:idx val="36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95-E1EB-456A-BEBE-EF697796FB60}"/>
                    </c:ext>
                  </c:extLst>
                </c:dPt>
                <c:dPt>
                  <c:idx val="36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97-E1EB-456A-BEBE-EF697796FB60}"/>
                    </c:ext>
                  </c:extLst>
                </c:dPt>
                <c:dPt>
                  <c:idx val="36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99-E1EB-456A-BEBE-EF697796FB60}"/>
                    </c:ext>
                  </c:extLst>
                </c:dPt>
                <c:dPt>
                  <c:idx val="36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9B-E1EB-456A-BEBE-EF697796FB60}"/>
                    </c:ext>
                  </c:extLst>
                </c:dPt>
                <c:dPt>
                  <c:idx val="36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9D-E1EB-456A-BEBE-EF697796FB60}"/>
                    </c:ext>
                  </c:extLst>
                </c:dPt>
                <c:dPt>
                  <c:idx val="37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9F-E1EB-456A-BEBE-EF697796FB60}"/>
                    </c:ext>
                  </c:extLst>
                </c:dPt>
                <c:dPt>
                  <c:idx val="37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A1-E1EB-456A-BEBE-EF697796FB60}"/>
                    </c:ext>
                  </c:extLst>
                </c:dPt>
                <c:dPt>
                  <c:idx val="37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A3-E1EB-456A-BEBE-EF697796FB60}"/>
                    </c:ext>
                  </c:extLst>
                </c:dPt>
                <c:dPt>
                  <c:idx val="37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A5-E1EB-456A-BEBE-EF697796FB60}"/>
                    </c:ext>
                  </c:extLst>
                </c:dPt>
                <c:dPt>
                  <c:idx val="37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A7-E1EB-456A-BEBE-EF697796FB60}"/>
                    </c:ext>
                  </c:extLst>
                </c:dPt>
                <c:dPt>
                  <c:idx val="37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A9-E1EB-456A-BEBE-EF697796FB60}"/>
                    </c:ext>
                  </c:extLst>
                </c:dPt>
                <c:dPt>
                  <c:idx val="37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AB-E1EB-456A-BEBE-EF697796FB60}"/>
                    </c:ext>
                  </c:extLst>
                </c:dPt>
                <c:dPt>
                  <c:idx val="37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AD-E1EB-456A-BEBE-EF697796FB60}"/>
                    </c:ext>
                  </c:extLst>
                </c:dPt>
                <c:dPt>
                  <c:idx val="37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AF-E1EB-456A-BEBE-EF697796FB60}"/>
                    </c:ext>
                  </c:extLst>
                </c:dPt>
                <c:dPt>
                  <c:idx val="37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B1-E1EB-456A-BEBE-EF697796FB60}"/>
                    </c:ext>
                  </c:extLst>
                </c:dPt>
                <c:dPt>
                  <c:idx val="38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B3-E1EB-456A-BEBE-EF697796FB60}"/>
                    </c:ext>
                  </c:extLst>
                </c:dPt>
                <c:dPt>
                  <c:idx val="38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B5-E1EB-456A-BEBE-EF697796FB60}"/>
                    </c:ext>
                  </c:extLst>
                </c:dPt>
                <c:dPt>
                  <c:idx val="38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B7-E1EB-456A-BEBE-EF697796FB60}"/>
                    </c:ext>
                  </c:extLst>
                </c:dPt>
                <c:dPt>
                  <c:idx val="38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B9-E1EB-456A-BEBE-EF697796FB60}"/>
                    </c:ext>
                  </c:extLst>
                </c:dPt>
                <c:dPt>
                  <c:idx val="38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BB-E1EB-456A-BEBE-EF697796FB60}"/>
                    </c:ext>
                  </c:extLst>
                </c:dPt>
                <c:dPt>
                  <c:idx val="38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BD-E1EB-456A-BEBE-EF697796FB60}"/>
                    </c:ext>
                  </c:extLst>
                </c:dPt>
                <c:dPt>
                  <c:idx val="38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BF-E1EB-456A-BEBE-EF697796FB60}"/>
                    </c:ext>
                  </c:extLst>
                </c:dPt>
                <c:dPt>
                  <c:idx val="38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C1-E1EB-456A-BEBE-EF697796FB60}"/>
                    </c:ext>
                  </c:extLst>
                </c:dPt>
                <c:dPt>
                  <c:idx val="38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C3-E1EB-456A-BEBE-EF697796FB60}"/>
                    </c:ext>
                  </c:extLst>
                </c:dPt>
                <c:dPt>
                  <c:idx val="38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C5-E1EB-456A-BEBE-EF697796FB60}"/>
                    </c:ext>
                  </c:extLst>
                </c:dPt>
                <c:dPt>
                  <c:idx val="39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C7-E1EB-456A-BEBE-EF697796FB60}"/>
                    </c:ext>
                  </c:extLst>
                </c:dPt>
                <c:dPt>
                  <c:idx val="39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C9-E1EB-456A-BEBE-EF697796FB60}"/>
                    </c:ext>
                  </c:extLst>
                </c:dPt>
                <c:dPt>
                  <c:idx val="39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CB-E1EB-456A-BEBE-EF697796FB60}"/>
                    </c:ext>
                  </c:extLst>
                </c:dPt>
                <c:dPt>
                  <c:idx val="39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CD-E1EB-456A-BEBE-EF697796FB60}"/>
                    </c:ext>
                  </c:extLst>
                </c:dPt>
                <c:dPt>
                  <c:idx val="39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CF-E1EB-456A-BEBE-EF697796FB60}"/>
                    </c:ext>
                  </c:extLst>
                </c:dPt>
                <c:dPt>
                  <c:idx val="39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D1-E1EB-456A-BEBE-EF697796FB60}"/>
                    </c:ext>
                  </c:extLst>
                </c:dPt>
                <c:dPt>
                  <c:idx val="39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D3-E1EB-456A-BEBE-EF697796FB60}"/>
                    </c:ext>
                  </c:extLst>
                </c:dPt>
                <c:dPt>
                  <c:idx val="39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D5-E1EB-456A-BEBE-EF697796FB60}"/>
                    </c:ext>
                  </c:extLst>
                </c:dPt>
                <c:dPt>
                  <c:idx val="39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D7-E1EB-456A-BEBE-EF697796FB60}"/>
                    </c:ext>
                  </c:extLst>
                </c:dPt>
                <c:dPt>
                  <c:idx val="39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D9-E1EB-456A-BEBE-EF697796FB60}"/>
                    </c:ext>
                  </c:extLst>
                </c:dPt>
                <c:dPt>
                  <c:idx val="40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DB-E1EB-456A-BEBE-EF697796FB60}"/>
                    </c:ext>
                  </c:extLst>
                </c:dPt>
                <c:dPt>
                  <c:idx val="40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DD-E1EB-456A-BEBE-EF697796FB60}"/>
                    </c:ext>
                  </c:extLst>
                </c:dPt>
                <c:dPt>
                  <c:idx val="40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DF-E1EB-456A-BEBE-EF697796FB60}"/>
                    </c:ext>
                  </c:extLst>
                </c:dPt>
                <c:dPt>
                  <c:idx val="40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E1-E1EB-456A-BEBE-EF697796FB60}"/>
                    </c:ext>
                  </c:extLst>
                </c:dPt>
                <c:dPt>
                  <c:idx val="40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E3-E1EB-456A-BEBE-EF697796FB60}"/>
                    </c:ext>
                  </c:extLst>
                </c:dPt>
                <c:dPt>
                  <c:idx val="40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E5-E1EB-456A-BEBE-EF697796FB60}"/>
                    </c:ext>
                  </c:extLst>
                </c:dPt>
                <c:dPt>
                  <c:idx val="40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E7-E1EB-456A-BEBE-EF697796FB60}"/>
                    </c:ext>
                  </c:extLst>
                </c:dPt>
                <c:dPt>
                  <c:idx val="40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E9-E1EB-456A-BEBE-EF697796FB60}"/>
                    </c:ext>
                  </c:extLst>
                </c:dPt>
                <c:dPt>
                  <c:idx val="40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EB-E1EB-456A-BEBE-EF697796FB60}"/>
                    </c:ext>
                  </c:extLst>
                </c:dPt>
                <c:dPt>
                  <c:idx val="40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ED-E1EB-456A-BEBE-EF697796FB60}"/>
                    </c:ext>
                  </c:extLst>
                </c:dPt>
                <c:dPt>
                  <c:idx val="41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EF-E1EB-456A-BEBE-EF697796FB60}"/>
                    </c:ext>
                  </c:extLst>
                </c:dPt>
                <c:dPt>
                  <c:idx val="41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F1-E1EB-456A-BEBE-EF697796FB60}"/>
                    </c:ext>
                  </c:extLst>
                </c:dPt>
                <c:dPt>
                  <c:idx val="41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F3-E1EB-456A-BEBE-EF697796FB60}"/>
                    </c:ext>
                  </c:extLst>
                </c:dPt>
                <c:dPt>
                  <c:idx val="41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F5-E1EB-456A-BEBE-EF697796FB60}"/>
                    </c:ext>
                  </c:extLst>
                </c:dPt>
                <c:dPt>
                  <c:idx val="41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F7-E1EB-456A-BEBE-EF697796FB60}"/>
                    </c:ext>
                  </c:extLst>
                </c:dPt>
                <c:dPt>
                  <c:idx val="41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F9-E1EB-456A-BEBE-EF697796FB60}"/>
                    </c:ext>
                  </c:extLst>
                </c:dPt>
                <c:dPt>
                  <c:idx val="41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FB-E1EB-456A-BEBE-EF697796FB60}"/>
                    </c:ext>
                  </c:extLst>
                </c:dPt>
                <c:dPt>
                  <c:idx val="41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FD-E1EB-456A-BEBE-EF697796FB60}"/>
                    </c:ext>
                  </c:extLst>
                </c:dPt>
                <c:dPt>
                  <c:idx val="41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FF-E1EB-456A-BEBE-EF697796FB60}"/>
                    </c:ext>
                  </c:extLst>
                </c:dPt>
                <c:dPt>
                  <c:idx val="41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01-E1EB-456A-BEBE-EF697796FB60}"/>
                    </c:ext>
                  </c:extLst>
                </c:dPt>
                <c:dPt>
                  <c:idx val="42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03-E1EB-456A-BEBE-EF697796FB60}"/>
                    </c:ext>
                  </c:extLst>
                </c:dPt>
                <c:dPt>
                  <c:idx val="42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05-E1EB-456A-BEBE-EF697796FB60}"/>
                    </c:ext>
                  </c:extLst>
                </c:dPt>
                <c:dPt>
                  <c:idx val="42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07-E1EB-456A-BEBE-EF697796FB60}"/>
                    </c:ext>
                  </c:extLst>
                </c:dPt>
                <c:dPt>
                  <c:idx val="42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09-E1EB-456A-BEBE-EF697796FB60}"/>
                    </c:ext>
                  </c:extLst>
                </c:dPt>
                <c:dPt>
                  <c:idx val="42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0B-E1EB-456A-BEBE-EF697796FB60}"/>
                    </c:ext>
                  </c:extLst>
                </c:dPt>
                <c:dPt>
                  <c:idx val="42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0D-E1EB-456A-BEBE-EF697796FB60}"/>
                    </c:ext>
                  </c:extLst>
                </c:dPt>
                <c:dPt>
                  <c:idx val="42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0F-E1EB-456A-BEBE-EF697796FB60}"/>
                    </c:ext>
                  </c:extLst>
                </c:dPt>
                <c:dPt>
                  <c:idx val="42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11-E1EB-456A-BEBE-EF697796FB60}"/>
                    </c:ext>
                  </c:extLst>
                </c:dPt>
                <c:dPt>
                  <c:idx val="42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13-E1EB-456A-BEBE-EF697796FB60}"/>
                    </c:ext>
                  </c:extLst>
                </c:dPt>
                <c:dPt>
                  <c:idx val="42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15-E1EB-456A-BEBE-EF697796FB60}"/>
                    </c:ext>
                  </c:extLst>
                </c:dPt>
                <c:dPt>
                  <c:idx val="43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17-E1EB-456A-BEBE-EF697796FB60}"/>
                    </c:ext>
                  </c:extLst>
                </c:dPt>
                <c:dPt>
                  <c:idx val="43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19-E1EB-456A-BEBE-EF697796FB60}"/>
                    </c:ext>
                  </c:extLst>
                </c:dPt>
                <c:dPt>
                  <c:idx val="43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1B-E1EB-456A-BEBE-EF697796FB60}"/>
                    </c:ext>
                  </c:extLst>
                </c:dPt>
                <c:dPt>
                  <c:idx val="43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1D-E1EB-456A-BEBE-EF697796FB60}"/>
                    </c:ext>
                  </c:extLst>
                </c:dPt>
                <c:dPt>
                  <c:idx val="43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1F-E1EB-456A-BEBE-EF697796FB60}"/>
                    </c:ext>
                  </c:extLst>
                </c:dPt>
                <c:dPt>
                  <c:idx val="43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21-E1EB-456A-BEBE-EF697796FB60}"/>
                    </c:ext>
                  </c:extLst>
                </c:dPt>
                <c:dPt>
                  <c:idx val="43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23-E1EB-456A-BEBE-EF697796FB60}"/>
                    </c:ext>
                  </c:extLst>
                </c:dPt>
                <c:dPt>
                  <c:idx val="43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25-E1EB-456A-BEBE-EF697796FB60}"/>
                    </c:ext>
                  </c:extLst>
                </c:dPt>
                <c:dPt>
                  <c:idx val="43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27-E1EB-456A-BEBE-EF697796FB60}"/>
                    </c:ext>
                  </c:extLst>
                </c:dPt>
                <c:dPt>
                  <c:idx val="43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29-E1EB-456A-BEBE-EF697796FB60}"/>
                    </c:ext>
                  </c:extLst>
                </c:dPt>
                <c:dPt>
                  <c:idx val="44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2B-E1EB-456A-BEBE-EF697796FB60}"/>
                    </c:ext>
                  </c:extLst>
                </c:dPt>
                <c:dPt>
                  <c:idx val="44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2D-E1EB-456A-BEBE-EF697796FB60}"/>
                    </c:ext>
                  </c:extLst>
                </c:dPt>
                <c:dPt>
                  <c:idx val="44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2F-E1EB-456A-BEBE-EF697796FB60}"/>
                    </c:ext>
                  </c:extLst>
                </c:dPt>
                <c:dPt>
                  <c:idx val="44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31-E1EB-456A-BEBE-EF697796FB60}"/>
                    </c:ext>
                  </c:extLst>
                </c:dPt>
                <c:dPt>
                  <c:idx val="44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33-E1EB-456A-BEBE-EF697796FB60}"/>
                    </c:ext>
                  </c:extLst>
                </c:dPt>
                <c:dPt>
                  <c:idx val="44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35-E1EB-456A-BEBE-EF697796FB60}"/>
                    </c:ext>
                  </c:extLst>
                </c:dPt>
                <c:dPt>
                  <c:idx val="44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37-E1EB-456A-BEBE-EF697796FB60}"/>
                    </c:ext>
                  </c:extLst>
                </c:dPt>
                <c:dPt>
                  <c:idx val="44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39-E1EB-456A-BEBE-EF697796FB60}"/>
                    </c:ext>
                  </c:extLst>
                </c:dPt>
                <c:dPt>
                  <c:idx val="44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3B-E1EB-456A-BEBE-EF697796FB60}"/>
                    </c:ext>
                  </c:extLst>
                </c:dPt>
                <c:dPt>
                  <c:idx val="44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3D-E1EB-456A-BEBE-EF697796FB60}"/>
                    </c:ext>
                  </c:extLst>
                </c:dPt>
                <c:dPt>
                  <c:idx val="45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3F-E1EB-456A-BEBE-EF697796FB60}"/>
                    </c:ext>
                  </c:extLst>
                </c:dPt>
                <c:dPt>
                  <c:idx val="45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41-E1EB-456A-BEBE-EF697796FB60}"/>
                    </c:ext>
                  </c:extLst>
                </c:dPt>
                <c:dPt>
                  <c:idx val="45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43-E1EB-456A-BEBE-EF697796FB60}"/>
                    </c:ext>
                  </c:extLst>
                </c:dPt>
                <c:dPt>
                  <c:idx val="45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45-E1EB-456A-BEBE-EF697796FB60}"/>
                    </c:ext>
                  </c:extLst>
                </c:dPt>
                <c:dPt>
                  <c:idx val="45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47-E1EB-456A-BEBE-EF697796FB60}"/>
                    </c:ext>
                  </c:extLst>
                </c:dPt>
                <c:dPt>
                  <c:idx val="45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49-E1EB-456A-BEBE-EF697796FB60}"/>
                    </c:ext>
                  </c:extLst>
                </c:dPt>
                <c:dPt>
                  <c:idx val="45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4B-E1EB-456A-BEBE-EF697796FB60}"/>
                    </c:ext>
                  </c:extLst>
                </c:dPt>
                <c:dPt>
                  <c:idx val="45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4D-E1EB-456A-BEBE-EF697796FB60}"/>
                    </c:ext>
                  </c:extLst>
                </c:dPt>
                <c:dPt>
                  <c:idx val="45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4F-E1EB-456A-BEBE-EF697796FB60}"/>
                    </c:ext>
                  </c:extLst>
                </c:dPt>
                <c:dPt>
                  <c:idx val="45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51-E1EB-456A-BEBE-EF697796FB60}"/>
                    </c:ext>
                  </c:extLst>
                </c:dPt>
                <c:dPt>
                  <c:idx val="46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53-E1EB-456A-BEBE-EF697796FB60}"/>
                    </c:ext>
                  </c:extLst>
                </c:dPt>
                <c:dPt>
                  <c:idx val="46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55-E1EB-456A-BEBE-EF697796FB60}"/>
                    </c:ext>
                  </c:extLst>
                </c:dPt>
                <c:dPt>
                  <c:idx val="46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57-E1EB-456A-BEBE-EF697796FB60}"/>
                    </c:ext>
                  </c:extLst>
                </c:dPt>
                <c:dPt>
                  <c:idx val="46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59-E1EB-456A-BEBE-EF697796FB60}"/>
                    </c:ext>
                  </c:extLst>
                </c:dPt>
                <c:dPt>
                  <c:idx val="46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5B-E1EB-456A-BEBE-EF697796FB60}"/>
                    </c:ext>
                  </c:extLst>
                </c:dPt>
                <c:dPt>
                  <c:idx val="46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5D-E1EB-456A-BEBE-EF697796FB60}"/>
                    </c:ext>
                  </c:extLst>
                </c:dPt>
                <c:dPt>
                  <c:idx val="46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5F-E1EB-456A-BEBE-EF697796FB60}"/>
                    </c:ext>
                  </c:extLst>
                </c:dPt>
                <c:dPt>
                  <c:idx val="46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61-E1EB-456A-BEBE-EF697796FB60}"/>
                    </c:ext>
                  </c:extLst>
                </c:dPt>
                <c:dPt>
                  <c:idx val="46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63-E1EB-456A-BEBE-EF697796FB60}"/>
                    </c:ext>
                  </c:extLst>
                </c:dPt>
                <c:dPt>
                  <c:idx val="46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65-E1EB-456A-BEBE-EF697796FB60}"/>
                    </c:ext>
                  </c:extLst>
                </c:dPt>
                <c:dPt>
                  <c:idx val="47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67-E1EB-456A-BEBE-EF697796FB60}"/>
                    </c:ext>
                  </c:extLst>
                </c:dPt>
                <c:dPt>
                  <c:idx val="47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69-E1EB-456A-BEBE-EF697796FB60}"/>
                    </c:ext>
                  </c:extLst>
                </c:dPt>
                <c:dPt>
                  <c:idx val="47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6B-E1EB-456A-BEBE-EF697796FB60}"/>
                    </c:ext>
                  </c:extLst>
                </c:dPt>
                <c:dPt>
                  <c:idx val="47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6D-E1EB-456A-BEBE-EF697796FB60}"/>
                    </c:ext>
                  </c:extLst>
                </c:dPt>
                <c:dPt>
                  <c:idx val="47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6F-E1EB-456A-BEBE-EF697796FB60}"/>
                    </c:ext>
                  </c:extLst>
                </c:dPt>
                <c:dPt>
                  <c:idx val="47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71-E1EB-456A-BEBE-EF697796FB60}"/>
                    </c:ext>
                  </c:extLst>
                </c:dPt>
                <c:dPt>
                  <c:idx val="47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73-E1EB-456A-BEBE-EF697796FB60}"/>
                    </c:ext>
                  </c:extLst>
                </c:dPt>
                <c:dPt>
                  <c:idx val="47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75-E1EB-456A-BEBE-EF697796FB60}"/>
                    </c:ext>
                  </c:extLst>
                </c:dPt>
                <c:dPt>
                  <c:idx val="47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77-E1EB-456A-BEBE-EF697796FB60}"/>
                    </c:ext>
                  </c:extLst>
                </c:dPt>
                <c:dPt>
                  <c:idx val="47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79-E1EB-456A-BEBE-EF697796FB60}"/>
                    </c:ext>
                  </c:extLst>
                </c:dPt>
                <c:dPt>
                  <c:idx val="48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7B-E1EB-456A-BEBE-EF697796FB60}"/>
                    </c:ext>
                  </c:extLst>
                </c:dPt>
                <c:dPt>
                  <c:idx val="48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7D-E1EB-456A-BEBE-EF697796FB60}"/>
                    </c:ext>
                  </c:extLst>
                </c:dPt>
                <c:dPt>
                  <c:idx val="48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7F-E1EB-456A-BEBE-EF697796FB60}"/>
                    </c:ext>
                  </c:extLst>
                </c:dPt>
                <c:dPt>
                  <c:idx val="48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81-E1EB-456A-BEBE-EF697796FB60}"/>
                    </c:ext>
                  </c:extLst>
                </c:dPt>
                <c:dPt>
                  <c:idx val="48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83-E1EB-456A-BEBE-EF697796FB60}"/>
                    </c:ext>
                  </c:extLst>
                </c:dPt>
                <c:dPt>
                  <c:idx val="48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85-E1EB-456A-BEBE-EF697796FB60}"/>
                    </c:ext>
                  </c:extLst>
                </c:dPt>
                <c:dPt>
                  <c:idx val="48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87-E1EB-456A-BEBE-EF697796FB60}"/>
                    </c:ext>
                  </c:extLst>
                </c:dPt>
                <c:dPt>
                  <c:idx val="48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89-E1EB-456A-BEBE-EF697796FB60}"/>
                    </c:ext>
                  </c:extLst>
                </c:dPt>
                <c:dPt>
                  <c:idx val="48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8B-E1EB-456A-BEBE-EF697796FB60}"/>
                    </c:ext>
                  </c:extLst>
                </c:dPt>
                <c:dPt>
                  <c:idx val="48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8D-E1EB-456A-BEBE-EF697796FB60}"/>
                    </c:ext>
                  </c:extLst>
                </c:dPt>
                <c:dPt>
                  <c:idx val="49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8F-E1EB-456A-BEBE-EF697796FB60}"/>
                    </c:ext>
                  </c:extLst>
                </c:dPt>
                <c:dPt>
                  <c:idx val="49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91-E1EB-456A-BEBE-EF697796FB60}"/>
                    </c:ext>
                  </c:extLst>
                </c:dPt>
                <c:dPt>
                  <c:idx val="49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93-E1EB-456A-BEBE-EF697796FB60}"/>
                    </c:ext>
                  </c:extLst>
                </c:dPt>
                <c:dPt>
                  <c:idx val="49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95-E1EB-456A-BEBE-EF697796FB60}"/>
                    </c:ext>
                  </c:extLst>
                </c:dPt>
                <c:dPt>
                  <c:idx val="49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97-E1EB-456A-BEBE-EF697796FB60}"/>
                    </c:ext>
                  </c:extLst>
                </c:dPt>
                <c:dPt>
                  <c:idx val="49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99-E1EB-456A-BEBE-EF697796FB60}"/>
                    </c:ext>
                  </c:extLst>
                </c:dPt>
                <c:dPt>
                  <c:idx val="49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9B-E1EB-456A-BEBE-EF697796FB60}"/>
                    </c:ext>
                  </c:extLst>
                </c:dPt>
                <c:dPt>
                  <c:idx val="49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9D-E1EB-456A-BEBE-EF697796FB60}"/>
                    </c:ext>
                  </c:extLst>
                </c:dPt>
                <c:dPt>
                  <c:idx val="49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9F-E1EB-456A-BEBE-EF697796FB60}"/>
                    </c:ext>
                  </c:extLst>
                </c:dPt>
                <c:dPt>
                  <c:idx val="49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A1-E1EB-456A-BEBE-EF697796FB60}"/>
                    </c:ext>
                  </c:extLst>
                </c:dPt>
                <c:dPt>
                  <c:idx val="50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A3-E1EB-456A-BEBE-EF697796FB60}"/>
                    </c:ext>
                  </c:extLst>
                </c:dPt>
                <c:dPt>
                  <c:idx val="50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A5-E1EB-456A-BEBE-EF697796FB60}"/>
                    </c:ext>
                  </c:extLst>
                </c:dPt>
                <c:dPt>
                  <c:idx val="50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A7-E1EB-456A-BEBE-EF697796FB60}"/>
                    </c:ext>
                  </c:extLst>
                </c:dPt>
                <c:dPt>
                  <c:idx val="50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A9-E1EB-456A-BEBE-EF697796FB60}"/>
                    </c:ext>
                  </c:extLst>
                </c:dPt>
                <c:dPt>
                  <c:idx val="50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AB-E1EB-456A-BEBE-EF697796FB60}"/>
                    </c:ext>
                  </c:extLst>
                </c:dPt>
                <c:dPt>
                  <c:idx val="50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AD-E1EB-456A-BEBE-EF697796FB60}"/>
                    </c:ext>
                  </c:extLst>
                </c:dPt>
                <c:dPt>
                  <c:idx val="50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AF-E1EB-456A-BEBE-EF697796FB60}"/>
                    </c:ext>
                  </c:extLst>
                </c:dPt>
                <c:dPt>
                  <c:idx val="50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B1-E1EB-456A-BEBE-EF697796FB60}"/>
                    </c:ext>
                  </c:extLst>
                </c:dPt>
                <c:dPt>
                  <c:idx val="50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B3-E1EB-456A-BEBE-EF697796FB60}"/>
                    </c:ext>
                  </c:extLst>
                </c:dPt>
                <c:dPt>
                  <c:idx val="50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B5-E1EB-456A-BEBE-EF697796FB60}"/>
                    </c:ext>
                  </c:extLst>
                </c:dPt>
                <c:dPt>
                  <c:idx val="51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B7-E1EB-456A-BEBE-EF697796FB60}"/>
                    </c:ext>
                  </c:extLst>
                </c:dPt>
                <c:dPt>
                  <c:idx val="51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B9-E1EB-456A-BEBE-EF697796FB60}"/>
                    </c:ext>
                  </c:extLst>
                </c:dPt>
                <c:dPt>
                  <c:idx val="51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BB-E1EB-456A-BEBE-EF697796FB60}"/>
                    </c:ext>
                  </c:extLst>
                </c:dPt>
                <c:dPt>
                  <c:idx val="51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BD-E1EB-456A-BEBE-EF697796FB60}"/>
                    </c:ext>
                  </c:extLst>
                </c:dPt>
                <c:dPt>
                  <c:idx val="51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BF-E1EB-456A-BEBE-EF697796FB60}"/>
                    </c:ext>
                  </c:extLst>
                </c:dPt>
                <c:dPt>
                  <c:idx val="51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C1-E1EB-456A-BEBE-EF697796FB60}"/>
                    </c:ext>
                  </c:extLst>
                </c:dPt>
                <c:dPt>
                  <c:idx val="51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C3-E1EB-456A-BEBE-EF697796FB60}"/>
                    </c:ext>
                  </c:extLst>
                </c:dPt>
                <c:dPt>
                  <c:idx val="51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C5-E1EB-456A-BEBE-EF697796FB60}"/>
                    </c:ext>
                  </c:extLst>
                </c:dPt>
                <c:dPt>
                  <c:idx val="51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C7-E1EB-456A-BEBE-EF697796FB60}"/>
                    </c:ext>
                  </c:extLst>
                </c:dPt>
                <c:dPt>
                  <c:idx val="51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C9-E1EB-456A-BEBE-EF697796FB60}"/>
                    </c:ext>
                  </c:extLst>
                </c:dPt>
                <c:dPt>
                  <c:idx val="52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CB-E1EB-456A-BEBE-EF697796FB60}"/>
                    </c:ext>
                  </c:extLst>
                </c:dPt>
                <c:dPt>
                  <c:idx val="52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CD-E1EB-456A-BEBE-EF697796FB60}"/>
                    </c:ext>
                  </c:extLst>
                </c:dPt>
                <c:dPt>
                  <c:idx val="52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CF-E1EB-456A-BEBE-EF697796FB60}"/>
                    </c:ext>
                  </c:extLst>
                </c:dPt>
                <c:dPt>
                  <c:idx val="52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D1-E1EB-456A-BEBE-EF697796FB60}"/>
                    </c:ext>
                  </c:extLst>
                </c:dPt>
                <c:dPt>
                  <c:idx val="52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D3-E1EB-456A-BEBE-EF697796FB60}"/>
                    </c:ext>
                  </c:extLst>
                </c:dPt>
                <c:dPt>
                  <c:idx val="52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D5-E1EB-456A-BEBE-EF697796FB60}"/>
                    </c:ext>
                  </c:extLst>
                </c:dPt>
                <c:dPt>
                  <c:idx val="52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D7-E1EB-456A-BEBE-EF697796FB60}"/>
                    </c:ext>
                  </c:extLst>
                </c:dPt>
                <c:dPt>
                  <c:idx val="52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D9-E1EB-456A-BEBE-EF697796FB60}"/>
                    </c:ext>
                  </c:extLst>
                </c:dPt>
                <c:dPt>
                  <c:idx val="52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DB-E1EB-456A-BEBE-EF697796FB60}"/>
                    </c:ext>
                  </c:extLst>
                </c:dPt>
                <c:dPt>
                  <c:idx val="52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DD-E1EB-456A-BEBE-EF697796FB60}"/>
                    </c:ext>
                  </c:extLst>
                </c:dPt>
                <c:dPt>
                  <c:idx val="53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DF-E1EB-456A-BEBE-EF697796FB60}"/>
                    </c:ext>
                  </c:extLst>
                </c:dPt>
                <c:dPt>
                  <c:idx val="53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E1-E1EB-456A-BEBE-EF697796FB60}"/>
                    </c:ext>
                  </c:extLst>
                </c:dPt>
                <c:dPt>
                  <c:idx val="53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E3-E1EB-456A-BEBE-EF697796FB60}"/>
                    </c:ext>
                  </c:extLst>
                </c:dPt>
                <c:dPt>
                  <c:idx val="53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E5-E1EB-456A-BEBE-EF697796FB60}"/>
                    </c:ext>
                  </c:extLst>
                </c:dPt>
                <c:dPt>
                  <c:idx val="53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E7-E1EB-456A-BEBE-EF697796FB60}"/>
                    </c:ext>
                  </c:extLst>
                </c:dPt>
                <c:dPt>
                  <c:idx val="53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E9-E1EB-456A-BEBE-EF697796FB60}"/>
                    </c:ext>
                  </c:extLst>
                </c:dPt>
                <c:dPt>
                  <c:idx val="53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EB-E1EB-456A-BEBE-EF697796FB60}"/>
                    </c:ext>
                  </c:extLst>
                </c:dPt>
                <c:dPt>
                  <c:idx val="53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ED-E1EB-456A-BEBE-EF697796FB60}"/>
                    </c:ext>
                  </c:extLst>
                </c:dPt>
                <c:dPt>
                  <c:idx val="53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EF-E1EB-456A-BEBE-EF697796FB60}"/>
                    </c:ext>
                  </c:extLst>
                </c:dPt>
                <c:dPt>
                  <c:idx val="53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F1-E1EB-456A-BEBE-EF697796FB60}"/>
                    </c:ext>
                  </c:extLst>
                </c:dPt>
                <c:dPt>
                  <c:idx val="54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F3-E1EB-456A-BEBE-EF697796FB60}"/>
                    </c:ext>
                  </c:extLst>
                </c:dPt>
                <c:dPt>
                  <c:idx val="54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F5-E1EB-456A-BEBE-EF697796FB60}"/>
                    </c:ext>
                  </c:extLst>
                </c:dPt>
                <c:dPt>
                  <c:idx val="54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F7-E1EB-456A-BEBE-EF697796FB60}"/>
                    </c:ext>
                  </c:extLst>
                </c:dPt>
                <c:dPt>
                  <c:idx val="54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F9-E1EB-456A-BEBE-EF697796FB60}"/>
                    </c:ext>
                  </c:extLst>
                </c:dPt>
                <c:dPt>
                  <c:idx val="54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FB-E1EB-456A-BEBE-EF697796FB60}"/>
                    </c:ext>
                  </c:extLst>
                </c:dPt>
                <c:dPt>
                  <c:idx val="54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FD-E1EB-456A-BEBE-EF697796FB60}"/>
                    </c:ext>
                  </c:extLst>
                </c:dPt>
                <c:dPt>
                  <c:idx val="54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FF-E1EB-456A-BEBE-EF697796FB60}"/>
                    </c:ext>
                  </c:extLst>
                </c:dPt>
                <c:dPt>
                  <c:idx val="54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01-E1EB-456A-BEBE-EF697796FB60}"/>
                    </c:ext>
                  </c:extLst>
                </c:dPt>
                <c:dPt>
                  <c:idx val="54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03-E1EB-456A-BEBE-EF697796FB60}"/>
                    </c:ext>
                  </c:extLst>
                </c:dPt>
                <c:dPt>
                  <c:idx val="54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05-E1EB-456A-BEBE-EF697796FB60}"/>
                    </c:ext>
                  </c:extLst>
                </c:dPt>
                <c:dPt>
                  <c:idx val="55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07-E1EB-456A-BEBE-EF697796FB60}"/>
                    </c:ext>
                  </c:extLst>
                </c:dPt>
                <c:dPt>
                  <c:idx val="55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09-E1EB-456A-BEBE-EF697796FB60}"/>
                    </c:ext>
                  </c:extLst>
                </c:dPt>
                <c:dPt>
                  <c:idx val="55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0B-E1EB-456A-BEBE-EF697796FB60}"/>
                    </c:ext>
                  </c:extLst>
                </c:dPt>
                <c:dPt>
                  <c:idx val="55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0D-E1EB-456A-BEBE-EF697796FB60}"/>
                    </c:ext>
                  </c:extLst>
                </c:dPt>
                <c:dPt>
                  <c:idx val="55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0F-E1EB-456A-BEBE-EF697796FB60}"/>
                    </c:ext>
                  </c:extLst>
                </c:dPt>
                <c:dPt>
                  <c:idx val="55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11-E1EB-456A-BEBE-EF697796FB60}"/>
                    </c:ext>
                  </c:extLst>
                </c:dPt>
                <c:dPt>
                  <c:idx val="55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13-E1EB-456A-BEBE-EF697796FB60}"/>
                    </c:ext>
                  </c:extLst>
                </c:dPt>
                <c:dPt>
                  <c:idx val="55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15-E1EB-456A-BEBE-EF697796FB60}"/>
                    </c:ext>
                  </c:extLst>
                </c:dPt>
                <c:dPt>
                  <c:idx val="55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17-E1EB-456A-BEBE-EF697796FB60}"/>
                    </c:ext>
                  </c:extLst>
                </c:dPt>
                <c:dPt>
                  <c:idx val="55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19-E1EB-456A-BEBE-EF697796FB60}"/>
                    </c:ext>
                  </c:extLst>
                </c:dPt>
                <c:dPt>
                  <c:idx val="56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1B-E1EB-456A-BEBE-EF697796FB60}"/>
                    </c:ext>
                  </c:extLst>
                </c:dPt>
                <c:dPt>
                  <c:idx val="56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1D-E1EB-456A-BEBE-EF697796FB60}"/>
                    </c:ext>
                  </c:extLst>
                </c:dPt>
                <c:dPt>
                  <c:idx val="56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1F-E1EB-456A-BEBE-EF697796FB60}"/>
                    </c:ext>
                  </c:extLst>
                </c:dPt>
                <c:dPt>
                  <c:idx val="56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21-E1EB-456A-BEBE-EF697796FB60}"/>
                    </c:ext>
                  </c:extLst>
                </c:dPt>
                <c:dPt>
                  <c:idx val="56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23-E1EB-456A-BEBE-EF697796FB60}"/>
                    </c:ext>
                  </c:extLst>
                </c:dPt>
                <c:dPt>
                  <c:idx val="56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25-E1EB-456A-BEBE-EF697796FB60}"/>
                    </c:ext>
                  </c:extLst>
                </c:dPt>
                <c:dPt>
                  <c:idx val="56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27-E1EB-456A-BEBE-EF697796FB60}"/>
                    </c:ext>
                  </c:extLst>
                </c:dPt>
                <c:dPt>
                  <c:idx val="56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29-E1EB-456A-BEBE-EF697796FB60}"/>
                    </c:ext>
                  </c:extLst>
                </c:dPt>
                <c:dPt>
                  <c:idx val="56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2B-E1EB-456A-BEBE-EF697796FB60}"/>
                    </c:ext>
                  </c:extLst>
                </c:dPt>
                <c:dPt>
                  <c:idx val="56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2D-E1EB-456A-BEBE-EF697796FB60}"/>
                    </c:ext>
                  </c:extLst>
                </c:dPt>
                <c:dPt>
                  <c:idx val="57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2F-E1EB-456A-BEBE-EF697796FB60}"/>
                    </c:ext>
                  </c:extLst>
                </c:dPt>
                <c:dPt>
                  <c:idx val="57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31-E1EB-456A-BEBE-EF697796FB60}"/>
                    </c:ext>
                  </c:extLst>
                </c:dPt>
                <c:dPt>
                  <c:idx val="57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33-E1EB-456A-BEBE-EF697796FB60}"/>
                    </c:ext>
                  </c:extLst>
                </c:dPt>
                <c:dPt>
                  <c:idx val="57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35-E1EB-456A-BEBE-EF697796FB60}"/>
                    </c:ext>
                  </c:extLst>
                </c:dPt>
                <c:dPt>
                  <c:idx val="57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37-E1EB-456A-BEBE-EF697796FB60}"/>
                    </c:ext>
                  </c:extLst>
                </c:dPt>
                <c:dPt>
                  <c:idx val="57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39-E1EB-456A-BEBE-EF697796FB60}"/>
                    </c:ext>
                  </c:extLst>
                </c:dPt>
                <c:dPt>
                  <c:idx val="57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3B-E1EB-456A-BEBE-EF697796FB60}"/>
                    </c:ext>
                  </c:extLst>
                </c:dPt>
                <c:dPt>
                  <c:idx val="57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3D-E1EB-456A-BEBE-EF697796FB60}"/>
                    </c:ext>
                  </c:extLst>
                </c:dPt>
                <c:dPt>
                  <c:idx val="57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3F-E1EB-456A-BEBE-EF697796FB60}"/>
                    </c:ext>
                  </c:extLst>
                </c:dPt>
                <c:dPt>
                  <c:idx val="57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41-E1EB-456A-BEBE-EF697796FB60}"/>
                    </c:ext>
                  </c:extLst>
                </c:dPt>
                <c:dPt>
                  <c:idx val="58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43-E1EB-456A-BEBE-EF697796FB60}"/>
                    </c:ext>
                  </c:extLst>
                </c:dPt>
                <c:dPt>
                  <c:idx val="58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45-E1EB-456A-BEBE-EF697796FB60}"/>
                    </c:ext>
                  </c:extLst>
                </c:dPt>
                <c:dPt>
                  <c:idx val="58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47-E1EB-456A-BEBE-EF697796FB60}"/>
                    </c:ext>
                  </c:extLst>
                </c:dPt>
                <c:dPt>
                  <c:idx val="58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49-E1EB-456A-BEBE-EF697796FB60}"/>
                    </c:ext>
                  </c:extLst>
                </c:dPt>
                <c:dPt>
                  <c:idx val="58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4B-E1EB-456A-BEBE-EF697796FB60}"/>
                    </c:ext>
                  </c:extLst>
                </c:dPt>
                <c:dPt>
                  <c:idx val="58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4D-E1EB-456A-BEBE-EF697796FB60}"/>
                    </c:ext>
                  </c:extLst>
                </c:dPt>
                <c:dPt>
                  <c:idx val="58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4F-E1EB-456A-BEBE-EF697796FB60}"/>
                    </c:ext>
                  </c:extLst>
                </c:dPt>
                <c:dPt>
                  <c:idx val="58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51-E1EB-456A-BEBE-EF697796FB60}"/>
                    </c:ext>
                  </c:extLst>
                </c:dPt>
                <c:dPt>
                  <c:idx val="58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53-E1EB-456A-BEBE-EF697796FB60}"/>
                    </c:ext>
                  </c:extLst>
                </c:dPt>
                <c:dPt>
                  <c:idx val="58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55-E1EB-456A-BEBE-EF697796FB60}"/>
                    </c:ext>
                  </c:extLst>
                </c:dPt>
                <c:dPt>
                  <c:idx val="59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57-E1EB-456A-BEBE-EF697796FB60}"/>
                    </c:ext>
                  </c:extLst>
                </c:dPt>
                <c:dPt>
                  <c:idx val="59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59-E1EB-456A-BEBE-EF697796FB60}"/>
                    </c:ext>
                  </c:extLst>
                </c:dPt>
                <c:dPt>
                  <c:idx val="59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5B-E1EB-456A-BEBE-EF697796FB60}"/>
                    </c:ext>
                  </c:extLst>
                </c:dPt>
                <c:dPt>
                  <c:idx val="59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5D-E1EB-456A-BEBE-EF697796FB60}"/>
                    </c:ext>
                  </c:extLst>
                </c:dPt>
                <c:dPt>
                  <c:idx val="59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5F-E1EB-456A-BEBE-EF697796FB60}"/>
                    </c:ext>
                  </c:extLst>
                </c:dPt>
                <c:dPt>
                  <c:idx val="59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61-E1EB-456A-BEBE-EF697796FB60}"/>
                    </c:ext>
                  </c:extLst>
                </c:dPt>
                <c:dPt>
                  <c:idx val="59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63-E1EB-456A-BEBE-EF697796FB60}"/>
                    </c:ext>
                  </c:extLst>
                </c:dPt>
                <c:dPt>
                  <c:idx val="59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65-E1EB-456A-BEBE-EF697796FB60}"/>
                    </c:ext>
                  </c:extLst>
                </c:dPt>
                <c:dPt>
                  <c:idx val="59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67-E1EB-456A-BEBE-EF697796FB60}"/>
                    </c:ext>
                  </c:extLst>
                </c:dPt>
                <c:dPt>
                  <c:idx val="59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69-E1EB-456A-BEBE-EF697796FB60}"/>
                    </c:ext>
                  </c:extLst>
                </c:dPt>
                <c:dPt>
                  <c:idx val="60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6B-E1EB-456A-BEBE-EF697796FB60}"/>
                    </c:ext>
                  </c:extLst>
                </c:dPt>
                <c:dPt>
                  <c:idx val="60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6D-E1EB-456A-BEBE-EF697796FB60}"/>
                    </c:ext>
                  </c:extLst>
                </c:dPt>
                <c:dPt>
                  <c:idx val="60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6F-E1EB-456A-BEBE-EF697796FB60}"/>
                    </c:ext>
                  </c:extLst>
                </c:dPt>
                <c:dPt>
                  <c:idx val="60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71-E1EB-456A-BEBE-EF697796FB60}"/>
                    </c:ext>
                  </c:extLst>
                </c:dPt>
                <c:dPt>
                  <c:idx val="60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73-E1EB-456A-BEBE-EF697796FB60}"/>
                    </c:ext>
                  </c:extLst>
                </c:dPt>
                <c:dPt>
                  <c:idx val="60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75-E1EB-456A-BEBE-EF697796FB60}"/>
                    </c:ext>
                  </c:extLst>
                </c:dPt>
                <c:dPt>
                  <c:idx val="60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77-E1EB-456A-BEBE-EF697796FB60}"/>
                    </c:ext>
                  </c:extLst>
                </c:dPt>
                <c:dPt>
                  <c:idx val="60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79-E1EB-456A-BEBE-EF697796FB60}"/>
                    </c:ext>
                  </c:extLst>
                </c:dPt>
                <c:dPt>
                  <c:idx val="60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7B-E1EB-456A-BEBE-EF697796FB60}"/>
                    </c:ext>
                  </c:extLst>
                </c:dPt>
                <c:dPt>
                  <c:idx val="60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7D-E1EB-456A-BEBE-EF697796FB60}"/>
                    </c:ext>
                  </c:extLst>
                </c:dPt>
                <c:dPt>
                  <c:idx val="61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7F-E1EB-456A-BEBE-EF697796FB60}"/>
                    </c:ext>
                  </c:extLst>
                </c:dPt>
                <c:dPt>
                  <c:idx val="61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81-E1EB-456A-BEBE-EF697796FB60}"/>
                    </c:ext>
                  </c:extLst>
                </c:dPt>
                <c:dPt>
                  <c:idx val="61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83-E1EB-456A-BEBE-EF697796FB60}"/>
                    </c:ext>
                  </c:extLst>
                </c:dPt>
                <c:dPt>
                  <c:idx val="61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85-E1EB-456A-BEBE-EF697796FB60}"/>
                    </c:ext>
                  </c:extLst>
                </c:dPt>
                <c:dPt>
                  <c:idx val="61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87-E1EB-456A-BEBE-EF697796FB60}"/>
                    </c:ext>
                  </c:extLst>
                </c:dPt>
                <c:dPt>
                  <c:idx val="61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89-E1EB-456A-BEBE-EF697796FB60}"/>
                    </c:ext>
                  </c:extLst>
                </c:dPt>
                <c:dPt>
                  <c:idx val="61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8B-E1EB-456A-BEBE-EF697796FB60}"/>
                    </c:ext>
                  </c:extLst>
                </c:dPt>
                <c:dPt>
                  <c:idx val="61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8D-E1EB-456A-BEBE-EF697796FB60}"/>
                    </c:ext>
                  </c:extLst>
                </c:dPt>
                <c:dPt>
                  <c:idx val="61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8F-E1EB-456A-BEBE-EF697796FB60}"/>
                    </c:ext>
                  </c:extLst>
                </c:dPt>
                <c:dPt>
                  <c:idx val="61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91-E1EB-456A-BEBE-EF697796FB60}"/>
                    </c:ext>
                  </c:extLst>
                </c:dPt>
                <c:dPt>
                  <c:idx val="62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93-E1EB-456A-BEBE-EF697796FB60}"/>
                    </c:ext>
                  </c:extLst>
                </c:dPt>
                <c:dPt>
                  <c:idx val="62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95-E1EB-456A-BEBE-EF697796FB60}"/>
                    </c:ext>
                  </c:extLst>
                </c:dPt>
                <c:dPt>
                  <c:idx val="62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97-E1EB-456A-BEBE-EF697796FB60}"/>
                    </c:ext>
                  </c:extLst>
                </c:dPt>
                <c:dPt>
                  <c:idx val="62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99-E1EB-456A-BEBE-EF697796FB60}"/>
                    </c:ext>
                  </c:extLst>
                </c:dPt>
                <c:dPt>
                  <c:idx val="62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9B-E1EB-456A-BEBE-EF697796FB60}"/>
                    </c:ext>
                  </c:extLst>
                </c:dPt>
                <c:dPt>
                  <c:idx val="62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9D-E1EB-456A-BEBE-EF697796FB60}"/>
                    </c:ext>
                  </c:extLst>
                </c:dPt>
                <c:dPt>
                  <c:idx val="62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9F-E1EB-456A-BEBE-EF697796FB60}"/>
                    </c:ext>
                  </c:extLst>
                </c:dPt>
                <c:dPt>
                  <c:idx val="62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A1-E1EB-456A-BEBE-EF697796FB60}"/>
                    </c:ext>
                  </c:extLst>
                </c:dPt>
                <c:dPt>
                  <c:idx val="62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A3-E1EB-456A-BEBE-EF697796FB60}"/>
                    </c:ext>
                  </c:extLst>
                </c:dPt>
                <c:dPt>
                  <c:idx val="62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A5-E1EB-456A-BEBE-EF697796FB60}"/>
                    </c:ext>
                  </c:extLst>
                </c:dPt>
                <c:dPt>
                  <c:idx val="63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A7-E1EB-456A-BEBE-EF697796FB60}"/>
                    </c:ext>
                  </c:extLst>
                </c:dPt>
                <c:dPt>
                  <c:idx val="63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A9-E1EB-456A-BEBE-EF697796FB60}"/>
                    </c:ext>
                  </c:extLst>
                </c:dPt>
                <c:dPt>
                  <c:idx val="63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AB-E1EB-456A-BEBE-EF697796FB60}"/>
                    </c:ext>
                  </c:extLst>
                </c:dPt>
                <c:dPt>
                  <c:idx val="63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AD-E1EB-456A-BEBE-EF697796FB60}"/>
                    </c:ext>
                  </c:extLst>
                </c:dPt>
                <c:dPt>
                  <c:idx val="63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AF-E1EB-456A-BEBE-EF697796FB60}"/>
                    </c:ext>
                  </c:extLst>
                </c:dPt>
                <c:dPt>
                  <c:idx val="63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B1-E1EB-456A-BEBE-EF697796FB60}"/>
                    </c:ext>
                  </c:extLst>
                </c:dPt>
                <c:dPt>
                  <c:idx val="63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B3-E1EB-456A-BEBE-EF697796FB60}"/>
                    </c:ext>
                  </c:extLst>
                </c:dPt>
                <c:dPt>
                  <c:idx val="63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B5-E1EB-456A-BEBE-EF697796FB60}"/>
                    </c:ext>
                  </c:extLst>
                </c:dPt>
                <c:dPt>
                  <c:idx val="63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B7-E1EB-456A-BEBE-EF697796FB60}"/>
                    </c:ext>
                  </c:extLst>
                </c:dPt>
                <c:dPt>
                  <c:idx val="63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B9-E1EB-456A-BEBE-EF697796FB60}"/>
                    </c:ext>
                  </c:extLst>
                </c:dPt>
                <c:dPt>
                  <c:idx val="64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BB-E1EB-456A-BEBE-EF697796FB60}"/>
                    </c:ext>
                  </c:extLst>
                </c:dPt>
                <c:dPt>
                  <c:idx val="64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BD-E1EB-456A-BEBE-EF697796FB60}"/>
                    </c:ext>
                  </c:extLst>
                </c:dPt>
                <c:dPt>
                  <c:idx val="64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BF-E1EB-456A-BEBE-EF697796FB60}"/>
                    </c:ext>
                  </c:extLst>
                </c:dPt>
                <c:dPt>
                  <c:idx val="64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C1-E1EB-456A-BEBE-EF697796FB60}"/>
                    </c:ext>
                  </c:extLst>
                </c:dPt>
                <c:dPt>
                  <c:idx val="64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C3-E1EB-456A-BEBE-EF697796FB60}"/>
                    </c:ext>
                  </c:extLst>
                </c:dPt>
                <c:dPt>
                  <c:idx val="64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C5-E1EB-456A-BEBE-EF697796FB60}"/>
                    </c:ext>
                  </c:extLst>
                </c:dPt>
                <c:dPt>
                  <c:idx val="64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C7-E1EB-456A-BEBE-EF697796FB60}"/>
                    </c:ext>
                  </c:extLst>
                </c:dPt>
                <c:dPt>
                  <c:idx val="64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C9-E1EB-456A-BEBE-EF697796FB60}"/>
                    </c:ext>
                  </c:extLst>
                </c:dPt>
                <c:dPt>
                  <c:idx val="64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CB-E1EB-456A-BEBE-EF697796FB60}"/>
                    </c:ext>
                  </c:extLst>
                </c:dPt>
                <c:dPt>
                  <c:idx val="64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CD-E1EB-456A-BEBE-EF697796FB60}"/>
                    </c:ext>
                  </c:extLst>
                </c:dPt>
                <c:dPt>
                  <c:idx val="65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CF-E1EB-456A-BEBE-EF697796FB60}"/>
                    </c:ext>
                  </c:extLst>
                </c:dPt>
                <c:dPt>
                  <c:idx val="65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D1-E1EB-456A-BEBE-EF697796FB60}"/>
                    </c:ext>
                  </c:extLst>
                </c:dPt>
                <c:dPt>
                  <c:idx val="65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D3-E1EB-456A-BEBE-EF697796FB60}"/>
                    </c:ext>
                  </c:extLst>
                </c:dPt>
                <c:dPt>
                  <c:idx val="65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D5-E1EB-456A-BEBE-EF697796FB60}"/>
                    </c:ext>
                  </c:extLst>
                </c:dPt>
                <c:dPt>
                  <c:idx val="65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D7-E1EB-456A-BEBE-EF697796FB60}"/>
                    </c:ext>
                  </c:extLst>
                </c:dPt>
                <c:dPt>
                  <c:idx val="65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D9-E1EB-456A-BEBE-EF697796FB60}"/>
                    </c:ext>
                  </c:extLst>
                </c:dPt>
                <c:dPt>
                  <c:idx val="65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DB-E1EB-456A-BEBE-EF697796FB60}"/>
                    </c:ext>
                  </c:extLst>
                </c:dPt>
                <c:dPt>
                  <c:idx val="65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DD-E1EB-456A-BEBE-EF697796FB60}"/>
                    </c:ext>
                  </c:extLst>
                </c:dPt>
                <c:dPt>
                  <c:idx val="65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DF-E1EB-456A-BEBE-EF697796FB60}"/>
                    </c:ext>
                  </c:extLst>
                </c:dPt>
                <c:dPt>
                  <c:idx val="65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E1-E1EB-456A-BEBE-EF697796FB60}"/>
                    </c:ext>
                  </c:extLst>
                </c:dPt>
                <c:dPt>
                  <c:idx val="66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E3-E1EB-456A-BEBE-EF697796FB60}"/>
                    </c:ext>
                  </c:extLst>
                </c:dPt>
                <c:dPt>
                  <c:idx val="66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E5-E1EB-456A-BEBE-EF697796FB60}"/>
                    </c:ext>
                  </c:extLst>
                </c:dPt>
                <c:dPt>
                  <c:idx val="66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E7-E1EB-456A-BEBE-EF697796FB60}"/>
                    </c:ext>
                  </c:extLst>
                </c:dPt>
                <c:dPt>
                  <c:idx val="66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E9-E1EB-456A-BEBE-EF697796FB60}"/>
                    </c:ext>
                  </c:extLst>
                </c:dPt>
                <c:dPt>
                  <c:idx val="66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EB-E1EB-456A-BEBE-EF697796FB60}"/>
                    </c:ext>
                  </c:extLst>
                </c:dPt>
                <c:dPt>
                  <c:idx val="66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ED-E1EB-456A-BEBE-EF697796FB60}"/>
                    </c:ext>
                  </c:extLst>
                </c:dPt>
                <c:dPt>
                  <c:idx val="66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EF-E1EB-456A-BEBE-EF697796FB60}"/>
                    </c:ext>
                  </c:extLst>
                </c:dPt>
                <c:dPt>
                  <c:idx val="66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F1-E1EB-456A-BEBE-EF697796FB60}"/>
                    </c:ext>
                  </c:extLst>
                </c:dPt>
                <c:dPt>
                  <c:idx val="66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F3-E1EB-456A-BEBE-EF697796FB60}"/>
                    </c:ext>
                  </c:extLst>
                </c:dPt>
                <c:dPt>
                  <c:idx val="66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F5-E1EB-456A-BEBE-EF697796FB60}"/>
                    </c:ext>
                  </c:extLst>
                </c:dPt>
                <c:dPt>
                  <c:idx val="67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F7-E1EB-456A-BEBE-EF697796FB60}"/>
                    </c:ext>
                  </c:extLst>
                </c:dPt>
                <c:dPt>
                  <c:idx val="67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F9-E1EB-456A-BEBE-EF697796FB60}"/>
                    </c:ext>
                  </c:extLst>
                </c:dPt>
                <c:dPt>
                  <c:idx val="67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FB-E1EB-456A-BEBE-EF697796FB60}"/>
                    </c:ext>
                  </c:extLst>
                </c:dPt>
                <c:dPt>
                  <c:idx val="67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FD-E1EB-456A-BEBE-EF697796FB60}"/>
                    </c:ext>
                  </c:extLst>
                </c:dPt>
                <c:dPt>
                  <c:idx val="67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FF-E1EB-456A-BEBE-EF697796FB60}"/>
                    </c:ext>
                  </c:extLst>
                </c:dPt>
                <c:dPt>
                  <c:idx val="67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01-E1EB-456A-BEBE-EF697796FB60}"/>
                    </c:ext>
                  </c:extLst>
                </c:dPt>
                <c:dPt>
                  <c:idx val="67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03-E1EB-456A-BEBE-EF697796FB60}"/>
                    </c:ext>
                  </c:extLst>
                </c:dPt>
                <c:dPt>
                  <c:idx val="67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05-E1EB-456A-BEBE-EF697796FB60}"/>
                    </c:ext>
                  </c:extLst>
                </c:dPt>
                <c:dPt>
                  <c:idx val="67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07-E1EB-456A-BEBE-EF697796FB60}"/>
                    </c:ext>
                  </c:extLst>
                </c:dPt>
                <c:dPt>
                  <c:idx val="67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09-E1EB-456A-BEBE-EF697796FB60}"/>
                    </c:ext>
                  </c:extLst>
                </c:dPt>
                <c:dPt>
                  <c:idx val="68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0B-E1EB-456A-BEBE-EF697796FB60}"/>
                    </c:ext>
                  </c:extLst>
                </c:dPt>
                <c:dPt>
                  <c:idx val="68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0D-E1EB-456A-BEBE-EF697796FB60}"/>
                    </c:ext>
                  </c:extLst>
                </c:dPt>
                <c:dPt>
                  <c:idx val="68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0F-E1EB-456A-BEBE-EF697796FB60}"/>
                    </c:ext>
                  </c:extLst>
                </c:dPt>
                <c:dPt>
                  <c:idx val="68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11-E1EB-456A-BEBE-EF697796FB60}"/>
                    </c:ext>
                  </c:extLst>
                </c:dPt>
                <c:dPt>
                  <c:idx val="68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13-E1EB-456A-BEBE-EF697796FB60}"/>
                    </c:ext>
                  </c:extLst>
                </c:dPt>
                <c:dPt>
                  <c:idx val="68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15-E1EB-456A-BEBE-EF697796FB60}"/>
                    </c:ext>
                  </c:extLst>
                </c:dPt>
                <c:dPt>
                  <c:idx val="68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17-E1EB-456A-BEBE-EF697796FB60}"/>
                    </c:ext>
                  </c:extLst>
                </c:dPt>
                <c:dPt>
                  <c:idx val="68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19-E1EB-456A-BEBE-EF697796FB60}"/>
                    </c:ext>
                  </c:extLst>
                </c:dPt>
                <c:dPt>
                  <c:idx val="68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1B-E1EB-456A-BEBE-EF697796FB60}"/>
                    </c:ext>
                  </c:extLst>
                </c:dPt>
                <c:dPt>
                  <c:idx val="68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1D-E1EB-456A-BEBE-EF697796FB60}"/>
                    </c:ext>
                  </c:extLst>
                </c:dPt>
                <c:dPt>
                  <c:idx val="69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1F-E1EB-456A-BEBE-EF697796FB60}"/>
                    </c:ext>
                  </c:extLst>
                </c:dPt>
                <c:dPt>
                  <c:idx val="69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21-E1EB-456A-BEBE-EF697796FB60}"/>
                    </c:ext>
                  </c:extLst>
                </c:dPt>
                <c:dPt>
                  <c:idx val="69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23-E1EB-456A-BEBE-EF697796FB60}"/>
                    </c:ext>
                  </c:extLst>
                </c:dPt>
                <c:dPt>
                  <c:idx val="69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25-E1EB-456A-BEBE-EF697796FB60}"/>
                    </c:ext>
                  </c:extLst>
                </c:dPt>
                <c:dPt>
                  <c:idx val="69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27-E1EB-456A-BEBE-EF697796FB60}"/>
                    </c:ext>
                  </c:extLst>
                </c:dPt>
                <c:dPt>
                  <c:idx val="69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29-E1EB-456A-BEBE-EF697796FB60}"/>
                    </c:ext>
                  </c:extLst>
                </c:dPt>
                <c:dPt>
                  <c:idx val="69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2B-E1EB-456A-BEBE-EF697796FB60}"/>
                    </c:ext>
                  </c:extLst>
                </c:dPt>
                <c:dPt>
                  <c:idx val="69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2D-E1EB-456A-BEBE-EF697796FB60}"/>
                    </c:ext>
                  </c:extLst>
                </c:dPt>
                <c:dPt>
                  <c:idx val="69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2F-E1EB-456A-BEBE-EF697796FB60}"/>
                    </c:ext>
                  </c:extLst>
                </c:dPt>
                <c:dPt>
                  <c:idx val="69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31-E1EB-456A-BEBE-EF697796FB60}"/>
                    </c:ext>
                  </c:extLst>
                </c:dPt>
                <c:dPt>
                  <c:idx val="70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33-E1EB-456A-BEBE-EF697796FB60}"/>
                    </c:ext>
                  </c:extLst>
                </c:dPt>
                <c:dPt>
                  <c:idx val="70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35-E1EB-456A-BEBE-EF697796FB60}"/>
                    </c:ext>
                  </c:extLst>
                </c:dPt>
                <c:dPt>
                  <c:idx val="70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37-E1EB-456A-BEBE-EF697796FB60}"/>
                    </c:ext>
                  </c:extLst>
                </c:dPt>
                <c:dPt>
                  <c:idx val="70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39-E1EB-456A-BEBE-EF697796FB60}"/>
                    </c:ext>
                  </c:extLst>
                </c:dPt>
                <c:dPt>
                  <c:idx val="70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3B-E1EB-456A-BEBE-EF697796FB60}"/>
                    </c:ext>
                  </c:extLst>
                </c:dPt>
                <c:dPt>
                  <c:idx val="70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3D-E1EB-456A-BEBE-EF697796FB60}"/>
                    </c:ext>
                  </c:extLst>
                </c:dPt>
                <c:dPt>
                  <c:idx val="70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3F-E1EB-456A-BEBE-EF697796FB60}"/>
                    </c:ext>
                  </c:extLst>
                </c:dPt>
                <c:dPt>
                  <c:idx val="70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41-E1EB-456A-BEBE-EF697796FB60}"/>
                    </c:ext>
                  </c:extLst>
                </c:dPt>
                <c:dPt>
                  <c:idx val="70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43-E1EB-456A-BEBE-EF697796FB60}"/>
                    </c:ext>
                  </c:extLst>
                </c:dPt>
                <c:dPt>
                  <c:idx val="70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45-E1EB-456A-BEBE-EF697796FB60}"/>
                    </c:ext>
                  </c:extLst>
                </c:dPt>
                <c:dPt>
                  <c:idx val="71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47-E1EB-456A-BEBE-EF697796FB60}"/>
                    </c:ext>
                  </c:extLst>
                </c:dPt>
                <c:dPt>
                  <c:idx val="71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49-E1EB-456A-BEBE-EF697796FB60}"/>
                    </c:ext>
                  </c:extLst>
                </c:dPt>
                <c:dPt>
                  <c:idx val="71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4B-E1EB-456A-BEBE-EF697796FB60}"/>
                    </c:ext>
                  </c:extLst>
                </c:dPt>
                <c:dPt>
                  <c:idx val="71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4D-E1EB-456A-BEBE-EF697796FB60}"/>
                    </c:ext>
                  </c:extLst>
                </c:dPt>
                <c:dPt>
                  <c:idx val="71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4F-E1EB-456A-BEBE-EF697796FB60}"/>
                    </c:ext>
                  </c:extLst>
                </c:dPt>
                <c:dPt>
                  <c:idx val="71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51-E1EB-456A-BEBE-EF697796FB60}"/>
                    </c:ext>
                  </c:extLst>
                </c:dPt>
                <c:dPt>
                  <c:idx val="71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53-E1EB-456A-BEBE-EF697796FB60}"/>
                    </c:ext>
                  </c:extLst>
                </c:dPt>
                <c:dPt>
                  <c:idx val="71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55-E1EB-456A-BEBE-EF697796FB60}"/>
                    </c:ext>
                  </c:extLst>
                </c:dPt>
                <c:dPt>
                  <c:idx val="71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57-E1EB-456A-BEBE-EF697796FB60}"/>
                    </c:ext>
                  </c:extLst>
                </c:dPt>
                <c:dPt>
                  <c:idx val="71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59-E1EB-456A-BEBE-EF697796FB60}"/>
                    </c:ext>
                  </c:extLst>
                </c:dPt>
                <c:dPt>
                  <c:idx val="72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5B-E1EB-456A-BEBE-EF697796FB60}"/>
                    </c:ext>
                  </c:extLst>
                </c:dPt>
                <c:dPt>
                  <c:idx val="72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5D-E1EB-456A-BEBE-EF697796FB60}"/>
                    </c:ext>
                  </c:extLst>
                </c:dPt>
                <c:dPt>
                  <c:idx val="72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5F-E1EB-456A-BEBE-EF697796FB60}"/>
                    </c:ext>
                  </c:extLst>
                </c:dPt>
                <c:dPt>
                  <c:idx val="72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61-E1EB-456A-BEBE-EF697796FB60}"/>
                    </c:ext>
                  </c:extLst>
                </c:dPt>
                <c:dPt>
                  <c:idx val="72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63-E1EB-456A-BEBE-EF697796FB60}"/>
                    </c:ext>
                  </c:extLst>
                </c:dPt>
                <c:dPt>
                  <c:idx val="72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65-E1EB-456A-BEBE-EF697796FB60}"/>
                    </c:ext>
                  </c:extLst>
                </c:dPt>
                <c:dPt>
                  <c:idx val="72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67-E1EB-456A-BEBE-EF697796FB60}"/>
                    </c:ext>
                  </c:extLst>
                </c:dPt>
                <c:dPt>
                  <c:idx val="72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69-E1EB-456A-BEBE-EF697796FB60}"/>
                    </c:ext>
                  </c:extLst>
                </c:dPt>
                <c:dPt>
                  <c:idx val="72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6B-E1EB-456A-BEBE-EF697796FB60}"/>
                    </c:ext>
                  </c:extLst>
                </c:dPt>
                <c:dPt>
                  <c:idx val="72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6D-E1EB-456A-BEBE-EF697796FB60}"/>
                    </c:ext>
                  </c:extLst>
                </c:dPt>
                <c:dPt>
                  <c:idx val="73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6F-E1EB-456A-BEBE-EF697796FB60}"/>
                    </c:ext>
                  </c:extLst>
                </c:dPt>
                <c:dPt>
                  <c:idx val="73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71-E1EB-456A-BEBE-EF697796FB60}"/>
                    </c:ext>
                  </c:extLst>
                </c:dPt>
                <c:dPt>
                  <c:idx val="73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73-E1EB-456A-BEBE-EF697796FB60}"/>
                    </c:ext>
                  </c:extLst>
                </c:dPt>
                <c:dPt>
                  <c:idx val="73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75-E1EB-456A-BEBE-EF697796FB60}"/>
                    </c:ext>
                  </c:extLst>
                </c:dPt>
                <c:dPt>
                  <c:idx val="73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77-E1EB-456A-BEBE-EF697796FB60}"/>
                    </c:ext>
                  </c:extLst>
                </c:dPt>
                <c:dPt>
                  <c:idx val="73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79-E1EB-456A-BEBE-EF697796FB60}"/>
                    </c:ext>
                  </c:extLst>
                </c:dPt>
                <c:dPt>
                  <c:idx val="73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7B-E1EB-456A-BEBE-EF697796FB60}"/>
                    </c:ext>
                  </c:extLst>
                </c:dPt>
                <c:dPt>
                  <c:idx val="73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7D-E1EB-456A-BEBE-EF697796FB60}"/>
                    </c:ext>
                  </c:extLst>
                </c:dPt>
                <c:dPt>
                  <c:idx val="73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7F-E1EB-456A-BEBE-EF697796FB60}"/>
                    </c:ext>
                  </c:extLst>
                </c:dPt>
                <c:dPt>
                  <c:idx val="73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81-E1EB-456A-BEBE-EF697796FB60}"/>
                    </c:ext>
                  </c:extLst>
                </c:dPt>
                <c:dPt>
                  <c:idx val="74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83-E1EB-456A-BEBE-EF697796FB60}"/>
                    </c:ext>
                  </c:extLst>
                </c:dPt>
                <c:dPt>
                  <c:idx val="74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85-E1EB-456A-BEBE-EF697796FB60}"/>
                    </c:ext>
                  </c:extLst>
                </c:dPt>
                <c:dPt>
                  <c:idx val="74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87-E1EB-456A-BEBE-EF697796FB60}"/>
                    </c:ext>
                  </c:extLst>
                </c:dPt>
                <c:dPt>
                  <c:idx val="74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89-E1EB-456A-BEBE-EF697796FB60}"/>
                    </c:ext>
                  </c:extLst>
                </c:dPt>
                <c:dPt>
                  <c:idx val="74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8B-E1EB-456A-BEBE-EF697796FB60}"/>
                    </c:ext>
                  </c:extLst>
                </c:dPt>
                <c:dPt>
                  <c:idx val="74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8D-E1EB-456A-BEBE-EF697796FB60}"/>
                    </c:ext>
                  </c:extLst>
                </c:dPt>
                <c:dPt>
                  <c:idx val="74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8F-E1EB-456A-BEBE-EF697796FB60}"/>
                    </c:ext>
                  </c:extLst>
                </c:dPt>
                <c:dPt>
                  <c:idx val="74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91-E1EB-456A-BEBE-EF697796FB60}"/>
                    </c:ext>
                  </c:extLst>
                </c:dPt>
                <c:dPt>
                  <c:idx val="74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93-E1EB-456A-BEBE-EF697796FB60}"/>
                    </c:ext>
                  </c:extLst>
                </c:dPt>
                <c:dPt>
                  <c:idx val="74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95-E1EB-456A-BEBE-EF697796FB60}"/>
                    </c:ext>
                  </c:extLst>
                </c:dPt>
                <c:dPt>
                  <c:idx val="75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97-E1EB-456A-BEBE-EF697796FB60}"/>
                    </c:ext>
                  </c:extLst>
                </c:dPt>
                <c:dPt>
                  <c:idx val="75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99-E1EB-456A-BEBE-EF697796FB60}"/>
                    </c:ext>
                  </c:extLst>
                </c:dPt>
                <c:dPt>
                  <c:idx val="75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9B-E1EB-456A-BEBE-EF697796FB60}"/>
                    </c:ext>
                  </c:extLst>
                </c:dPt>
                <c:dPt>
                  <c:idx val="75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9D-E1EB-456A-BEBE-EF697796FB60}"/>
                    </c:ext>
                  </c:extLst>
                </c:dPt>
                <c:dPt>
                  <c:idx val="75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9F-E1EB-456A-BEBE-EF697796FB60}"/>
                    </c:ext>
                  </c:extLst>
                </c:dPt>
                <c:dPt>
                  <c:idx val="75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A1-E1EB-456A-BEBE-EF697796FB60}"/>
                    </c:ext>
                  </c:extLst>
                </c:dPt>
                <c:dPt>
                  <c:idx val="75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A3-E1EB-456A-BEBE-EF697796FB60}"/>
                    </c:ext>
                  </c:extLst>
                </c:dPt>
                <c:dPt>
                  <c:idx val="75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A5-E1EB-456A-BEBE-EF697796FB60}"/>
                    </c:ext>
                  </c:extLst>
                </c:dPt>
                <c:dPt>
                  <c:idx val="75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A7-E1EB-456A-BEBE-EF697796FB60}"/>
                    </c:ext>
                  </c:extLst>
                </c:dPt>
                <c:dPt>
                  <c:idx val="75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A9-E1EB-456A-BEBE-EF697796FB60}"/>
                    </c:ext>
                  </c:extLst>
                </c:dPt>
                <c:dPt>
                  <c:idx val="76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AB-E1EB-456A-BEBE-EF697796FB60}"/>
                    </c:ext>
                  </c:extLst>
                </c:dPt>
                <c:dPt>
                  <c:idx val="76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AD-E1EB-456A-BEBE-EF697796FB60}"/>
                    </c:ext>
                  </c:extLst>
                </c:dPt>
                <c:dPt>
                  <c:idx val="76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AF-E1EB-456A-BEBE-EF697796FB60}"/>
                    </c:ext>
                  </c:extLst>
                </c:dPt>
                <c:dPt>
                  <c:idx val="76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B1-E1EB-456A-BEBE-EF697796FB60}"/>
                    </c:ext>
                  </c:extLst>
                </c:dPt>
                <c:dPt>
                  <c:idx val="76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B3-E1EB-456A-BEBE-EF697796FB60}"/>
                    </c:ext>
                  </c:extLst>
                </c:dPt>
                <c:dPt>
                  <c:idx val="76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B5-E1EB-456A-BEBE-EF697796FB60}"/>
                    </c:ext>
                  </c:extLst>
                </c:dPt>
                <c:dPt>
                  <c:idx val="76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B7-E1EB-456A-BEBE-EF697796FB60}"/>
                    </c:ext>
                  </c:extLst>
                </c:dPt>
                <c:dPt>
                  <c:idx val="76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B9-E1EB-456A-BEBE-EF697796FB60}"/>
                    </c:ext>
                  </c:extLst>
                </c:dPt>
                <c:dPt>
                  <c:idx val="76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BB-E1EB-456A-BEBE-EF697796FB60}"/>
                    </c:ext>
                  </c:extLst>
                </c:dPt>
                <c:dPt>
                  <c:idx val="76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BD-E1EB-456A-BEBE-EF697796FB60}"/>
                    </c:ext>
                  </c:extLst>
                </c:dPt>
                <c:dPt>
                  <c:idx val="77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BF-E1EB-456A-BEBE-EF697796FB60}"/>
                    </c:ext>
                  </c:extLst>
                </c:dPt>
                <c:dPt>
                  <c:idx val="77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C1-E1EB-456A-BEBE-EF697796FB60}"/>
                    </c:ext>
                  </c:extLst>
                </c:dPt>
                <c:dPt>
                  <c:idx val="77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C3-E1EB-456A-BEBE-EF697796FB60}"/>
                    </c:ext>
                  </c:extLst>
                </c:dPt>
                <c:dPt>
                  <c:idx val="77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C5-E1EB-456A-BEBE-EF697796FB60}"/>
                    </c:ext>
                  </c:extLst>
                </c:dPt>
                <c:dPt>
                  <c:idx val="77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C7-E1EB-456A-BEBE-EF697796FB60}"/>
                    </c:ext>
                  </c:extLst>
                </c:dPt>
                <c:dPt>
                  <c:idx val="77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C9-E1EB-456A-BEBE-EF697796FB60}"/>
                    </c:ext>
                  </c:extLst>
                </c:dPt>
                <c:dPt>
                  <c:idx val="77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CB-E1EB-456A-BEBE-EF697796FB60}"/>
                    </c:ext>
                  </c:extLst>
                </c:dPt>
                <c:dPt>
                  <c:idx val="77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CD-E1EB-456A-BEBE-EF697796FB60}"/>
                    </c:ext>
                  </c:extLst>
                </c:dPt>
                <c:dPt>
                  <c:idx val="77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CF-E1EB-456A-BEBE-EF697796FB60}"/>
                    </c:ext>
                  </c:extLst>
                </c:dPt>
                <c:dPt>
                  <c:idx val="77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D1-E1EB-456A-BEBE-EF697796FB60}"/>
                    </c:ext>
                  </c:extLst>
                </c:dPt>
                <c:dPt>
                  <c:idx val="78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D3-E1EB-456A-BEBE-EF697796FB60}"/>
                    </c:ext>
                  </c:extLst>
                </c:dPt>
                <c:dPt>
                  <c:idx val="78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D5-E1EB-456A-BEBE-EF697796FB60}"/>
                    </c:ext>
                  </c:extLst>
                </c:dPt>
                <c:dPt>
                  <c:idx val="78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D7-E1EB-456A-BEBE-EF697796FB60}"/>
                    </c:ext>
                  </c:extLst>
                </c:dPt>
                <c:dPt>
                  <c:idx val="78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D9-E1EB-456A-BEBE-EF697796FB60}"/>
                    </c:ext>
                  </c:extLst>
                </c:dPt>
                <c:dPt>
                  <c:idx val="78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DB-E1EB-456A-BEBE-EF697796FB60}"/>
                    </c:ext>
                  </c:extLst>
                </c:dPt>
                <c:dPt>
                  <c:idx val="78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DD-E1EB-456A-BEBE-EF697796FB60}"/>
                    </c:ext>
                  </c:extLst>
                </c:dPt>
                <c:dPt>
                  <c:idx val="78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DF-E1EB-456A-BEBE-EF697796FB60}"/>
                    </c:ext>
                  </c:extLst>
                </c:dPt>
                <c:dPt>
                  <c:idx val="78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E1-E1EB-456A-BEBE-EF697796FB60}"/>
                    </c:ext>
                  </c:extLst>
                </c:dPt>
                <c:dPt>
                  <c:idx val="78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E3-E1EB-456A-BEBE-EF697796FB60}"/>
                    </c:ext>
                  </c:extLst>
                </c:dPt>
                <c:dPt>
                  <c:idx val="78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E5-E1EB-456A-BEBE-EF697796FB60}"/>
                    </c:ext>
                  </c:extLst>
                </c:dPt>
                <c:dPt>
                  <c:idx val="79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E7-E1EB-456A-BEBE-EF697796FB60}"/>
                    </c:ext>
                  </c:extLst>
                </c:dPt>
                <c:dPt>
                  <c:idx val="79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E9-E1EB-456A-BEBE-EF697796FB60}"/>
                    </c:ext>
                  </c:extLst>
                </c:dPt>
                <c:dPt>
                  <c:idx val="79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EB-E1EB-456A-BEBE-EF697796FB60}"/>
                    </c:ext>
                  </c:extLst>
                </c:dPt>
                <c:dPt>
                  <c:idx val="79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ED-E1EB-456A-BEBE-EF697796FB60}"/>
                    </c:ext>
                  </c:extLst>
                </c:dPt>
                <c:dPt>
                  <c:idx val="79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EF-E1EB-456A-BEBE-EF697796FB60}"/>
                    </c:ext>
                  </c:extLst>
                </c:dPt>
                <c:dPt>
                  <c:idx val="79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F1-E1EB-456A-BEBE-EF697796FB60}"/>
                    </c:ext>
                  </c:extLst>
                </c:dPt>
                <c:dPt>
                  <c:idx val="79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F3-E1EB-456A-BEBE-EF697796FB60}"/>
                    </c:ext>
                  </c:extLst>
                </c:dPt>
                <c:dPt>
                  <c:idx val="79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F5-E1EB-456A-BEBE-EF697796FB60}"/>
                    </c:ext>
                  </c:extLst>
                </c:dPt>
                <c:dPt>
                  <c:idx val="79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F7-E1EB-456A-BEBE-EF697796FB60}"/>
                    </c:ext>
                  </c:extLst>
                </c:dPt>
                <c:dPt>
                  <c:idx val="79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F9-E1EB-456A-BEBE-EF697796FB60}"/>
                    </c:ext>
                  </c:extLst>
                </c:dPt>
                <c:dPt>
                  <c:idx val="80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FB-E1EB-456A-BEBE-EF697796FB60}"/>
                    </c:ext>
                  </c:extLst>
                </c:dPt>
                <c:dPt>
                  <c:idx val="80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FD-E1EB-456A-BEBE-EF697796FB60}"/>
                    </c:ext>
                  </c:extLst>
                </c:dPt>
                <c:dPt>
                  <c:idx val="80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FF-E1EB-456A-BEBE-EF697796FB60}"/>
                    </c:ext>
                  </c:extLst>
                </c:dPt>
                <c:dPt>
                  <c:idx val="80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01-E1EB-456A-BEBE-EF697796FB60}"/>
                    </c:ext>
                  </c:extLst>
                </c:dPt>
                <c:dPt>
                  <c:idx val="80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03-E1EB-456A-BEBE-EF697796FB60}"/>
                    </c:ext>
                  </c:extLst>
                </c:dPt>
                <c:dPt>
                  <c:idx val="80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05-E1EB-456A-BEBE-EF697796FB60}"/>
                    </c:ext>
                  </c:extLst>
                </c:dPt>
                <c:dPt>
                  <c:idx val="80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07-E1EB-456A-BEBE-EF697796FB60}"/>
                    </c:ext>
                  </c:extLst>
                </c:dPt>
                <c:dPt>
                  <c:idx val="80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09-E1EB-456A-BEBE-EF697796FB60}"/>
                    </c:ext>
                  </c:extLst>
                </c:dPt>
                <c:dPt>
                  <c:idx val="80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0B-E1EB-456A-BEBE-EF697796FB60}"/>
                    </c:ext>
                  </c:extLst>
                </c:dPt>
                <c:dPt>
                  <c:idx val="80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0D-E1EB-456A-BEBE-EF697796FB60}"/>
                    </c:ext>
                  </c:extLst>
                </c:dPt>
                <c:dPt>
                  <c:idx val="81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0F-E1EB-456A-BEBE-EF697796FB60}"/>
                    </c:ext>
                  </c:extLst>
                </c:dPt>
                <c:dPt>
                  <c:idx val="81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11-E1EB-456A-BEBE-EF697796FB60}"/>
                    </c:ext>
                  </c:extLst>
                </c:dPt>
                <c:dPt>
                  <c:idx val="81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13-E1EB-456A-BEBE-EF697796FB60}"/>
                    </c:ext>
                  </c:extLst>
                </c:dPt>
                <c:dPt>
                  <c:idx val="81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15-E1EB-456A-BEBE-EF697796FB60}"/>
                    </c:ext>
                  </c:extLst>
                </c:dPt>
                <c:dPt>
                  <c:idx val="81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17-E1EB-456A-BEBE-EF697796FB60}"/>
                    </c:ext>
                  </c:extLst>
                </c:dPt>
                <c:dPt>
                  <c:idx val="81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19-E1EB-456A-BEBE-EF697796FB60}"/>
                    </c:ext>
                  </c:extLst>
                </c:dPt>
                <c:dPt>
                  <c:idx val="81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1B-E1EB-456A-BEBE-EF697796FB60}"/>
                    </c:ext>
                  </c:extLst>
                </c:dPt>
                <c:dPt>
                  <c:idx val="81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1D-E1EB-456A-BEBE-EF697796FB60}"/>
                    </c:ext>
                  </c:extLst>
                </c:dPt>
                <c:dPt>
                  <c:idx val="81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1F-E1EB-456A-BEBE-EF697796FB60}"/>
                    </c:ext>
                  </c:extLst>
                </c:dPt>
                <c:dPt>
                  <c:idx val="81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21-E1EB-456A-BEBE-EF697796FB60}"/>
                    </c:ext>
                  </c:extLst>
                </c:dPt>
                <c:dPt>
                  <c:idx val="82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23-E1EB-456A-BEBE-EF697796FB60}"/>
                    </c:ext>
                  </c:extLst>
                </c:dPt>
                <c:dPt>
                  <c:idx val="82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25-E1EB-456A-BEBE-EF697796FB60}"/>
                    </c:ext>
                  </c:extLst>
                </c:dPt>
                <c:dPt>
                  <c:idx val="82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27-E1EB-456A-BEBE-EF697796FB60}"/>
                    </c:ext>
                  </c:extLst>
                </c:dPt>
                <c:dPt>
                  <c:idx val="82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29-E1EB-456A-BEBE-EF697796FB60}"/>
                    </c:ext>
                  </c:extLst>
                </c:dPt>
                <c:dPt>
                  <c:idx val="82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2B-E1EB-456A-BEBE-EF697796FB60}"/>
                    </c:ext>
                  </c:extLst>
                </c:dPt>
                <c:dPt>
                  <c:idx val="82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2D-E1EB-456A-BEBE-EF697796FB60}"/>
                    </c:ext>
                  </c:extLst>
                </c:dPt>
                <c:dPt>
                  <c:idx val="82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2F-E1EB-456A-BEBE-EF697796FB60}"/>
                    </c:ext>
                  </c:extLst>
                </c:dPt>
                <c:dPt>
                  <c:idx val="82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31-E1EB-456A-BEBE-EF697796FB60}"/>
                    </c:ext>
                  </c:extLst>
                </c:dPt>
                <c:dPt>
                  <c:idx val="82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33-E1EB-456A-BEBE-EF697796FB60}"/>
                    </c:ext>
                  </c:extLst>
                </c:dPt>
                <c:dPt>
                  <c:idx val="82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35-E1EB-456A-BEBE-EF697796FB60}"/>
                    </c:ext>
                  </c:extLst>
                </c:dPt>
                <c:dPt>
                  <c:idx val="83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37-E1EB-456A-BEBE-EF697796FB60}"/>
                    </c:ext>
                  </c:extLst>
                </c:dPt>
                <c:dPt>
                  <c:idx val="83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39-E1EB-456A-BEBE-EF697796FB60}"/>
                    </c:ext>
                  </c:extLst>
                </c:dPt>
                <c:dPt>
                  <c:idx val="83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3B-E1EB-456A-BEBE-EF697796FB60}"/>
                    </c:ext>
                  </c:extLst>
                </c:dPt>
                <c:dPt>
                  <c:idx val="83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3D-E1EB-456A-BEBE-EF697796FB60}"/>
                    </c:ext>
                  </c:extLst>
                </c:dPt>
                <c:dPt>
                  <c:idx val="83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3F-E1EB-456A-BEBE-EF697796FB60}"/>
                    </c:ext>
                  </c:extLst>
                </c:dPt>
                <c:dPt>
                  <c:idx val="83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41-E1EB-456A-BEBE-EF697796FB60}"/>
                    </c:ext>
                  </c:extLst>
                </c:dPt>
                <c:dPt>
                  <c:idx val="83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43-E1EB-456A-BEBE-EF697796FB60}"/>
                    </c:ext>
                  </c:extLst>
                </c:dPt>
                <c:dPt>
                  <c:idx val="83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45-E1EB-456A-BEBE-EF697796FB60}"/>
                    </c:ext>
                  </c:extLst>
                </c:dPt>
                <c:dPt>
                  <c:idx val="83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47-E1EB-456A-BEBE-EF697796FB60}"/>
                    </c:ext>
                  </c:extLst>
                </c:dPt>
                <c:dPt>
                  <c:idx val="83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49-E1EB-456A-BEBE-EF697796FB60}"/>
                    </c:ext>
                  </c:extLst>
                </c:dPt>
                <c:dPt>
                  <c:idx val="84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4B-E1EB-456A-BEBE-EF697796FB60}"/>
                    </c:ext>
                  </c:extLst>
                </c:dPt>
                <c:dPt>
                  <c:idx val="84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4D-E1EB-456A-BEBE-EF697796FB60}"/>
                    </c:ext>
                  </c:extLst>
                </c:dPt>
                <c:dPt>
                  <c:idx val="84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4F-E1EB-456A-BEBE-EF697796FB60}"/>
                    </c:ext>
                  </c:extLst>
                </c:dPt>
                <c:dPt>
                  <c:idx val="84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51-E1EB-456A-BEBE-EF697796FB60}"/>
                    </c:ext>
                  </c:extLst>
                </c:dPt>
                <c:dPt>
                  <c:idx val="84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53-E1EB-456A-BEBE-EF697796FB60}"/>
                    </c:ext>
                  </c:extLst>
                </c:dPt>
                <c:dPt>
                  <c:idx val="84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55-E1EB-456A-BEBE-EF697796FB60}"/>
                    </c:ext>
                  </c:extLst>
                </c:dPt>
                <c:dPt>
                  <c:idx val="84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57-E1EB-456A-BEBE-EF697796FB60}"/>
                    </c:ext>
                  </c:extLst>
                </c:dPt>
                <c:dPt>
                  <c:idx val="84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59-E1EB-456A-BEBE-EF697796FB60}"/>
                    </c:ext>
                  </c:extLst>
                </c:dPt>
                <c:dPt>
                  <c:idx val="84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5B-E1EB-456A-BEBE-EF697796FB60}"/>
                    </c:ext>
                  </c:extLst>
                </c:dPt>
                <c:dPt>
                  <c:idx val="84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5D-E1EB-456A-BEBE-EF697796FB60}"/>
                    </c:ext>
                  </c:extLst>
                </c:dPt>
                <c:dPt>
                  <c:idx val="85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5F-E1EB-456A-BEBE-EF697796FB60}"/>
                    </c:ext>
                  </c:extLst>
                </c:dPt>
                <c:dPt>
                  <c:idx val="85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61-E1EB-456A-BEBE-EF697796FB60}"/>
                    </c:ext>
                  </c:extLst>
                </c:dPt>
                <c:dPt>
                  <c:idx val="85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63-E1EB-456A-BEBE-EF697796FB60}"/>
                    </c:ext>
                  </c:extLst>
                </c:dPt>
                <c:dPt>
                  <c:idx val="85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65-E1EB-456A-BEBE-EF697796FB60}"/>
                    </c:ext>
                  </c:extLst>
                </c:dPt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 cap="flat" cmpd="sng" algn="ctr">
                        <a:solidFill>
                          <a:schemeClr val="tx1">
                            <a:lumMod val="35000"/>
                            <a:lumOff val="65000"/>
                          </a:schemeClr>
                        </a:solidFill>
                        <a:round/>
                      </a:ln>
                      <a:effectLst/>
                    </c:spPr>
                  </c:leaderLines>
                  <c:extLst xmlns:c15="http://schemas.microsoft.com/office/drawing/2012/chart">
                    <c:ext xmlns:c15="http://schemas.microsoft.com/office/drawing/2012/chart" uri="{CE6537A1-D6FC-4f65-9D91-7224C49458BB}"/>
                  </c:extLst>
                </c:dLbls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('Données '!$C$199,'Données '!$E$199,'Données '!$G$199,'Données '!$I$199,'Données '!$K$199,'Données '!$M$199,'Données '!$O$199)</c15:sqref>
                        </c15:formulaRef>
                      </c:ext>
                    </c:extLst>
                    <c:strCache>
                      <c:ptCount val="7"/>
                      <c:pt idx="0">
                        <c:v>ESQ ==&gt; APD</c:v>
                      </c:pt>
                      <c:pt idx="1">
                        <c:v>Fin études/AO</c:v>
                      </c:pt>
                      <c:pt idx="2">
                        <c:v>OS</c:v>
                      </c:pt>
                      <c:pt idx="3">
                        <c:v>Travaux</c:v>
                      </c:pt>
                      <c:pt idx="4">
                        <c:v>GPA</c:v>
                      </c:pt>
                      <c:pt idx="5">
                        <c:v>Clôture défisc</c:v>
                      </c:pt>
                      <c:pt idx="6">
                        <c:v>STOP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('Données '!$C$204,'Données '!$E$204,'Données '!$G$204,'Données '!$I$204,'Données '!$K$204,'Données '!$M$204,'Données '!$O$204)</c15:sqref>
                        </c15:formulaRef>
                      </c:ext>
                    </c:extLst>
                    <c:numCache>
                      <c:formatCode>General</c:formatCode>
                      <c:ptCount val="7"/>
                      <c:pt idx="0">
                        <c:v>0</c:v>
                      </c:pt>
                      <c:pt idx="1">
                        <c:v>4</c:v>
                      </c:pt>
                      <c:pt idx="2">
                        <c:v>0</c:v>
                      </c:pt>
                      <c:pt idx="3">
                        <c:v>2</c:v>
                      </c:pt>
                      <c:pt idx="4">
                        <c:v>0</c:v>
                      </c:pt>
                      <c:pt idx="5">
                        <c:v>0</c:v>
                      </c:pt>
                      <c:pt idx="6">
                        <c:v>0</c:v>
                      </c:pt>
                    </c:numCache>
                  </c:numRef>
                </c:val>
                <c:extLst xmlns:c15="http://schemas.microsoft.com/office/drawing/2012/chart">
                  <c:ext xmlns:c16="http://schemas.microsoft.com/office/drawing/2014/chart" uri="{C3380CC4-5D6E-409C-BE32-E72D297353CC}">
                    <c16:uniqueId val="{00000791-DB9F-452A-82DA-49E825A71C5F}"/>
                  </c:ext>
                </c:extLst>
              </c15:ser>
            </c15:filteredPieSeries>
            <c15:filteredPieSeries>
              <c15:ser>
                <c:idx val="5"/>
                <c:order val="5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'Données initiales'!#REF!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667-1115-4863-B690-D60CB1C70F91}"/>
                    </c:ext>
                  </c:extLst>
                </c:dPt>
                <c:dPt>
                  <c:idx val="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FF-DAB6-45DA-91D4-882BD746BCFB}"/>
                    </c:ext>
                  </c:extLst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215-5EDB-4BE8-B6CB-617A718FFB97}"/>
                    </c:ext>
                  </c:extLst>
                </c:dPt>
                <c:dPt>
                  <c:idx val="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CF-DAF1-41D9-9DB1-A178C939277F}"/>
                    </c:ext>
                  </c:extLst>
                </c:dPt>
                <c:dPt>
                  <c:idx val="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219-5EDB-4BE8-B6CB-617A718FFB97}"/>
                    </c:ext>
                  </c:extLst>
                </c:dPt>
                <c:dPt>
                  <c:idx val="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89-1D13-485A-BA6F-2734FB277198}"/>
                    </c:ext>
                  </c:extLst>
                </c:dPt>
                <c:dPt>
                  <c:idx val="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21D-5EDB-4BE8-B6CB-617A718FFB97}"/>
                    </c:ext>
                  </c:extLst>
                </c:dPt>
                <c:dPt>
                  <c:idx val="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D3-DAF1-41D9-9DB1-A178C939277F}"/>
                    </c:ext>
                  </c:extLst>
                </c:dPt>
                <c:dPt>
                  <c:idx val="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221-5EDB-4BE8-B6CB-617A718FFB97}"/>
                    </c:ext>
                  </c:extLst>
                </c:dPt>
                <c:dPt>
                  <c:idx val="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EF-04ED-4AA9-BC50-D66038FCB951}"/>
                    </c:ext>
                  </c:extLst>
                </c:dPt>
                <c:dPt>
                  <c:idx val="1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225-5EDB-4BE8-B6CB-617A718FFB97}"/>
                    </c:ext>
                  </c:extLst>
                </c:dPt>
                <c:dPt>
                  <c:idx val="1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D7-DAF1-41D9-9DB1-A178C939277F}"/>
                    </c:ext>
                  </c:extLst>
                </c:dPt>
                <c:dPt>
                  <c:idx val="1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8D-1D13-485A-BA6F-2734FB277198}"/>
                    </c:ext>
                  </c:extLst>
                </c:dPt>
                <c:dPt>
                  <c:idx val="1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DB-DAF1-41D9-9DB1-A178C939277F}"/>
                    </c:ext>
                  </c:extLst>
                </c:dPt>
                <c:dPt>
                  <c:idx val="1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01-DAB6-45DA-91D4-882BD746BCFB}"/>
                    </c:ext>
                  </c:extLst>
                </c:dPt>
                <c:dPt>
                  <c:idx val="1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DF-DAF1-41D9-9DB1-A178C939277F}"/>
                    </c:ext>
                  </c:extLst>
                </c:dPt>
                <c:dPt>
                  <c:idx val="1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91-1D13-485A-BA6F-2734FB277198}"/>
                    </c:ext>
                  </c:extLst>
                </c:dPt>
                <c:dPt>
                  <c:idx val="1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F3-04ED-4AA9-BC50-D66038FCB951}"/>
                    </c:ext>
                  </c:extLst>
                </c:dPt>
                <c:dPt>
                  <c:idx val="1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95-1D13-485A-BA6F-2734FB277198}"/>
                    </c:ext>
                  </c:extLst>
                </c:dPt>
                <c:dPt>
                  <c:idx val="1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49-60BE-40C2-8D55-6632F2E349D0}"/>
                    </c:ext>
                  </c:extLst>
                </c:dPt>
                <c:dPt>
                  <c:idx val="2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99-1D13-485A-BA6F-2734FB277198}"/>
                    </c:ext>
                  </c:extLst>
                </c:dPt>
                <c:dPt>
                  <c:idx val="2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2D-5544-4033-80F0-E894437B4A40}"/>
                    </c:ext>
                  </c:extLst>
                </c:dPt>
                <c:dPt>
                  <c:idx val="2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4D-60BE-40C2-8D55-6632F2E349D0}"/>
                    </c:ext>
                  </c:extLst>
                </c:dPt>
                <c:dPt>
                  <c:idx val="2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11-A86C-40C3-A162-230FDBCEA487}"/>
                    </c:ext>
                  </c:extLst>
                </c:dPt>
                <c:dPt>
                  <c:idx val="2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31-5544-4033-80F0-E894437B4A40}"/>
                    </c:ext>
                  </c:extLst>
                </c:dPt>
                <c:dPt>
                  <c:idx val="2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3B-B056-42B7-88DE-80749CFCCB2D}"/>
                    </c:ext>
                  </c:extLst>
                </c:dPt>
                <c:dPt>
                  <c:idx val="2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15-A86C-40C3-A162-230FDBCEA487}"/>
                    </c:ext>
                  </c:extLst>
                </c:dPt>
                <c:dPt>
                  <c:idx val="2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F7-04ED-4AA9-BC50-D66038FCB951}"/>
                    </c:ext>
                  </c:extLst>
                </c:dPt>
                <c:dPt>
                  <c:idx val="2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03-DAB6-45DA-91D4-882BD746BCFB}"/>
                    </c:ext>
                  </c:extLst>
                </c:dPt>
                <c:dPt>
                  <c:idx val="2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FB-04ED-4AA9-BC50-D66038FCB951}"/>
                    </c:ext>
                  </c:extLst>
                </c:dPt>
                <c:dPt>
                  <c:idx val="3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AF-A820-4364-A7E1-C676310E0661}"/>
                    </c:ext>
                  </c:extLst>
                </c:dPt>
                <c:dPt>
                  <c:idx val="3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FF-04ED-4AA9-BC50-D66038FCB951}"/>
                    </c:ext>
                  </c:extLst>
                </c:dPt>
                <c:dPt>
                  <c:idx val="3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93-347F-48E4-BBCB-0EE59E974D1D}"/>
                    </c:ext>
                  </c:extLst>
                </c:dPt>
                <c:dPt>
                  <c:idx val="3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B3-A820-4364-A7E1-C676310E0661}"/>
                    </c:ext>
                  </c:extLst>
                </c:dPt>
                <c:dPt>
                  <c:idx val="3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77-CA5B-4529-960D-90148F46BA02}"/>
                    </c:ext>
                  </c:extLst>
                </c:dPt>
                <c:dPt>
                  <c:idx val="3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97-347F-48E4-BBCB-0EE59E974D1D}"/>
                    </c:ext>
                  </c:extLst>
                </c:dPt>
                <c:dPt>
                  <c:idx val="3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5B-22F6-405D-A58F-94551EB1A83D}"/>
                    </c:ext>
                  </c:extLst>
                </c:dPt>
                <c:dPt>
                  <c:idx val="3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7B-CA5B-4529-960D-90148F46BA02}"/>
                    </c:ext>
                  </c:extLst>
                </c:dPt>
                <c:dPt>
                  <c:idx val="3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3F-B056-42B7-88DE-80749CFCCB2D}"/>
                    </c:ext>
                  </c:extLst>
                </c:dPt>
                <c:dPt>
                  <c:idx val="3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5F-22F6-405D-A58F-94551EB1A83D}"/>
                    </c:ext>
                  </c:extLst>
                </c:dPt>
                <c:dPt>
                  <c:idx val="4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05-DAB6-45DA-91D4-882BD746BCFB}"/>
                    </c:ext>
                  </c:extLst>
                </c:dPt>
                <c:dPt>
                  <c:idx val="4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43-B056-42B7-88DE-80749CFCCB2D}"/>
                    </c:ext>
                  </c:extLst>
                </c:dPt>
                <c:dPt>
                  <c:idx val="4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07-DAB6-45DA-91D4-882BD746BCFB}"/>
                    </c:ext>
                  </c:extLst>
                </c:dPt>
                <c:dPt>
                  <c:idx val="4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47-B056-42B7-88DE-80749CFCCB2D}"/>
                    </c:ext>
                  </c:extLst>
                </c:dPt>
                <c:dPt>
                  <c:idx val="4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D7-596B-4D92-9954-301040E220ED}"/>
                    </c:ext>
                  </c:extLst>
                </c:dPt>
                <c:dPt>
                  <c:idx val="4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EF-68AF-4A70-B683-C4D0C1441A52}"/>
                    </c:ext>
                  </c:extLst>
                </c:dPt>
                <c:dPt>
                  <c:idx val="4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C3-2141-4CAD-8321-B92A7034E6C6}"/>
                    </c:ext>
                  </c:extLst>
                </c:dPt>
                <c:dPt>
                  <c:idx val="4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DB-596B-4D92-9954-301040E220ED}"/>
                    </c:ext>
                  </c:extLst>
                </c:dPt>
                <c:dPt>
                  <c:idx val="4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6F-59B7-4954-977F-FA691076C96E}"/>
                    </c:ext>
                  </c:extLst>
                </c:dPt>
                <c:dPt>
                  <c:idx val="4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C7-2141-4CAD-8321-B92A7034E6C6}"/>
                    </c:ext>
                  </c:extLst>
                </c:dPt>
                <c:dPt>
                  <c:idx val="5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9B-6E46-49EC-894E-39393BA39F32}"/>
                    </c:ext>
                  </c:extLst>
                </c:dPt>
                <c:dPt>
                  <c:idx val="5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CB-2141-4CAD-8321-B92A7034E6C6}"/>
                    </c:ext>
                  </c:extLst>
                </c:dPt>
                <c:dPt>
                  <c:idx val="5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47-5597-45E1-A31B-D524361EF8E8}"/>
                    </c:ext>
                  </c:extLst>
                </c:dPt>
                <c:dPt>
                  <c:idx val="5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9F-6E46-49EC-894E-39393BA39F32}"/>
                    </c:ext>
                  </c:extLst>
                </c:dPt>
                <c:dPt>
                  <c:idx val="5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73-59B7-4954-977F-FA691076C96E}"/>
                    </c:ext>
                  </c:extLst>
                </c:dPt>
                <c:dPt>
                  <c:idx val="5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A3-6E46-49EC-894E-39393BA39F32}"/>
                    </c:ext>
                  </c:extLst>
                </c:dPt>
                <c:dPt>
                  <c:idx val="5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1F-CC2F-4B13-B669-E8947D387CAC}"/>
                    </c:ext>
                  </c:extLst>
                </c:dPt>
                <c:dPt>
                  <c:idx val="5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77-59B7-4954-977F-FA691076C96E}"/>
                    </c:ext>
                  </c:extLst>
                </c:dPt>
                <c:dPt>
                  <c:idx val="5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4B-5597-45E1-A31B-D524361EF8E8}"/>
                    </c:ext>
                  </c:extLst>
                </c:dPt>
                <c:dPt>
                  <c:idx val="5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7B-59B7-4954-977F-FA691076C96E}"/>
                    </c:ext>
                  </c:extLst>
                </c:dPt>
                <c:dPt>
                  <c:idx val="6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F7-23E5-487F-B5FC-486D3B6F33AD}"/>
                    </c:ext>
                  </c:extLst>
                </c:dPt>
                <c:dPt>
                  <c:idx val="6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4F-5597-45E1-A31B-D524361EF8E8}"/>
                    </c:ext>
                  </c:extLst>
                </c:dPt>
                <c:dPt>
                  <c:idx val="6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23-CC2F-4B13-B669-E8947D387CAC}"/>
                    </c:ext>
                  </c:extLst>
                </c:dPt>
                <c:dPt>
                  <c:idx val="6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53-5597-45E1-A31B-D524361EF8E8}"/>
                    </c:ext>
                  </c:extLst>
                </c:dPt>
                <c:dPt>
                  <c:idx val="6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9B-C9B8-4D8E-BB56-5E3C88048355}"/>
                    </c:ext>
                  </c:extLst>
                </c:dPt>
                <c:dPt>
                  <c:idx val="6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27-CC2F-4B13-B669-E8947D387CAC}"/>
                    </c:ext>
                  </c:extLst>
                </c:dPt>
                <c:dPt>
                  <c:idx val="6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FB-23E5-487F-B5FC-486D3B6F33AD}"/>
                    </c:ext>
                  </c:extLst>
                </c:dPt>
                <c:dPt>
                  <c:idx val="6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2B-CC2F-4B13-B669-E8947D387CAC}"/>
                    </c:ext>
                  </c:extLst>
                </c:dPt>
                <c:dPt>
                  <c:idx val="6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D1-7E19-43B5-AFD0-AA8159069CAE}"/>
                    </c:ext>
                  </c:extLst>
                </c:dPt>
                <c:dPt>
                  <c:idx val="6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FF-23E5-487F-B5FC-486D3B6F33AD}"/>
                    </c:ext>
                  </c:extLst>
                </c:dPt>
                <c:dPt>
                  <c:idx val="7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2D-AB76-4C01-B0E9-A19E035A66C4}"/>
                    </c:ext>
                  </c:extLst>
                </c:dPt>
                <c:dPt>
                  <c:idx val="7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03-23E5-487F-B5FC-486D3B6F33AD}"/>
                    </c:ext>
                  </c:extLst>
                </c:dPt>
                <c:dPt>
                  <c:idx val="7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D5-7E19-43B5-AFD0-AA8159069CAE}"/>
                    </c:ext>
                  </c:extLst>
                </c:dPt>
                <c:dPt>
                  <c:idx val="7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9F-C9B8-4D8E-BB56-5E3C88048355}"/>
                    </c:ext>
                  </c:extLst>
                </c:dPt>
                <c:dPt>
                  <c:idx val="7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D9-7E19-43B5-AFD0-AA8159069CAE}"/>
                    </c:ext>
                  </c:extLst>
                </c:dPt>
                <c:dPt>
                  <c:idx val="7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E7-F87F-4084-9D74-26F54D9DCDC8}"/>
                    </c:ext>
                  </c:extLst>
                </c:dPt>
                <c:dPt>
                  <c:idx val="7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DD-7E19-43B5-AFD0-AA8159069CAE}"/>
                    </c:ext>
                  </c:extLst>
                </c:dPt>
                <c:dPt>
                  <c:idx val="7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A3-C9B8-4D8E-BB56-5E3C88048355}"/>
                    </c:ext>
                  </c:extLst>
                </c:dPt>
                <c:dPt>
                  <c:idx val="7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31-AB76-4C01-B0E9-A19E035A66C4}"/>
                    </c:ext>
                  </c:extLst>
                </c:dPt>
                <c:dPt>
                  <c:idx val="7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A7-C9B8-4D8E-BB56-5E3C88048355}"/>
                    </c:ext>
                  </c:extLst>
                </c:dPt>
                <c:dPt>
                  <c:idx val="8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6F-3B3F-4C0F-9836-96B52C253EE0}"/>
                    </c:ext>
                  </c:extLst>
                </c:dPt>
                <c:dPt>
                  <c:idx val="8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AB-C9B8-4D8E-BB56-5E3C88048355}"/>
                    </c:ext>
                  </c:extLst>
                </c:dPt>
                <c:dPt>
                  <c:idx val="8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5B-98AC-40BA-9E50-0D29417390DE}"/>
                    </c:ext>
                  </c:extLst>
                </c:dPt>
                <c:dPt>
                  <c:idx val="8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73-3B3F-4C0F-9836-96B52C253EE0}"/>
                    </c:ext>
                  </c:extLst>
                </c:dPt>
                <c:dPt>
                  <c:idx val="8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47-517B-4D48-8CAD-2056264369A5}"/>
                    </c:ext>
                  </c:extLst>
                </c:dPt>
                <c:dPt>
                  <c:idx val="8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5F-98AC-40BA-9E50-0D29417390DE}"/>
                    </c:ext>
                  </c:extLst>
                </c:dPt>
                <c:dPt>
                  <c:idx val="8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6B-E1EB-456A-BEBE-EF697796FB60}"/>
                    </c:ext>
                  </c:extLst>
                </c:dPt>
                <c:dPt>
                  <c:idx val="8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4B-517B-4D48-8CAD-2056264369A5}"/>
                    </c:ext>
                  </c:extLst>
                </c:dPt>
                <c:dPt>
                  <c:idx val="8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35-AB76-4C01-B0E9-A19E035A66C4}"/>
                    </c:ext>
                  </c:extLst>
                </c:dPt>
                <c:dPt>
                  <c:idx val="8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EB-F87F-4084-9D74-26F54D9DCDC8}"/>
                    </c:ext>
                  </c:extLst>
                </c:dPt>
                <c:dPt>
                  <c:idx val="9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39-AB76-4C01-B0E9-A19E035A66C4}"/>
                    </c:ext>
                  </c:extLst>
                </c:dPt>
                <c:dPt>
                  <c:idx val="9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01-A4AA-4F75-BAEF-2070A4AEC42C}"/>
                    </c:ext>
                  </c:extLst>
                </c:dPt>
                <c:dPt>
                  <c:idx val="9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3D-AB76-4C01-B0E9-A19E035A66C4}"/>
                    </c:ext>
                  </c:extLst>
                </c:dPt>
                <c:dPt>
                  <c:idx val="9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B7-DBCB-40F3-AAE3-A7FE123E6F99}"/>
                    </c:ext>
                  </c:extLst>
                </c:dPt>
                <c:dPt>
                  <c:idx val="9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05-A4AA-4F75-BAEF-2070A4AEC42C}"/>
                    </c:ext>
                  </c:extLst>
                </c:dPt>
                <c:dPt>
                  <c:idx val="9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EF-F87F-4084-9D74-26F54D9DCDC8}"/>
                    </c:ext>
                  </c:extLst>
                </c:dPt>
                <c:dPt>
                  <c:idx val="9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B9-DBCB-40F3-AAE3-A7FE123E6F99}"/>
                    </c:ext>
                  </c:extLst>
                </c:dPt>
                <c:dPt>
                  <c:idx val="9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F3-F87F-4084-9D74-26F54D9DCDC8}"/>
                    </c:ext>
                  </c:extLst>
                </c:dPt>
                <c:dPt>
                  <c:idx val="9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BB-DBCB-40F3-AAE3-A7FE123E6F99}"/>
                    </c:ext>
                  </c:extLst>
                </c:dPt>
                <c:dPt>
                  <c:idx val="9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F7-F87F-4084-9D74-26F54D9DCDC8}"/>
                    </c:ext>
                  </c:extLst>
                </c:dPt>
                <c:dPt>
                  <c:idx val="10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A7-13FB-448F-AF5B-C2B348685C35}"/>
                    </c:ext>
                  </c:extLst>
                </c:dPt>
                <c:dPt>
                  <c:idx val="10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BF-DBCB-40F3-AAE3-A7FE123E6F99}"/>
                    </c:ext>
                  </c:extLst>
                </c:dPt>
                <c:dPt>
                  <c:idx val="10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93-A92A-4A17-B06C-67702BFFE346}"/>
                    </c:ext>
                  </c:extLst>
                </c:dPt>
                <c:dPt>
                  <c:idx val="10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AB-13FB-448F-AF5B-C2B348685C35}"/>
                    </c:ext>
                  </c:extLst>
                </c:dPt>
                <c:dPt>
                  <c:idx val="10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7F-8EF1-442F-839B-C60B34E428DD}"/>
                    </c:ext>
                  </c:extLst>
                </c:dPt>
                <c:dPt>
                  <c:idx val="10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97-A92A-4A17-B06C-67702BFFE346}"/>
                    </c:ext>
                  </c:extLst>
                </c:dPt>
                <c:dPt>
                  <c:idx val="10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6B-4CA5-42DA-BA81-20CB7E934741}"/>
                    </c:ext>
                  </c:extLst>
                </c:dPt>
                <c:dPt>
                  <c:idx val="10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83-8EF1-442F-839B-C60B34E428DD}"/>
                    </c:ext>
                  </c:extLst>
                </c:dPt>
                <c:dPt>
                  <c:idx val="10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57-9CAE-4E2A-A7F6-AF1D53AB3760}"/>
                    </c:ext>
                  </c:extLst>
                </c:dPt>
                <c:dPt>
                  <c:idx val="10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6F-4CA5-42DA-BA81-20CB7E934741}"/>
                    </c:ext>
                  </c:extLst>
                </c:dPt>
                <c:dPt>
                  <c:idx val="11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43-EB9E-43AE-8257-EBF97BE94AB2}"/>
                    </c:ext>
                  </c:extLst>
                </c:dPt>
                <c:dPt>
                  <c:idx val="11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5B-9CAE-4E2A-A7F6-AF1D53AB3760}"/>
                    </c:ext>
                  </c:extLst>
                </c:dPt>
                <c:dPt>
                  <c:idx val="11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2F-2D1E-4B95-BA8A-55C2EB21D0B5}"/>
                    </c:ext>
                  </c:extLst>
                </c:dPt>
                <c:dPt>
                  <c:idx val="11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47-EB9E-43AE-8257-EBF97BE94AB2}"/>
                    </c:ext>
                  </c:extLst>
                </c:dPt>
                <c:dPt>
                  <c:idx val="11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1B-437E-4019-BCA3-0E44F50CDF0E}"/>
                    </c:ext>
                  </c:extLst>
                </c:dPt>
                <c:dPt>
                  <c:idx val="11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33-2D1E-4B95-BA8A-55C2EB21D0B5}"/>
                    </c:ext>
                  </c:extLst>
                </c:dPt>
                <c:dPt>
                  <c:idx val="11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6D-E1EB-456A-BEBE-EF697796FB60}"/>
                    </c:ext>
                  </c:extLst>
                </c:dPt>
                <c:dPt>
                  <c:idx val="11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1F-437E-4019-BCA3-0E44F50CDF0E}"/>
                    </c:ext>
                  </c:extLst>
                </c:dPt>
                <c:dPt>
                  <c:idx val="11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F3-59A0-40C0-AD98-10F8257B2D31}"/>
                    </c:ext>
                  </c:extLst>
                </c:dPt>
                <c:dPt>
                  <c:idx val="11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23-437E-4019-BCA3-0E44F50CDF0E}"/>
                    </c:ext>
                  </c:extLst>
                </c:dPt>
                <c:dPt>
                  <c:idx val="12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C9-0974-456E-BCB0-67A94FCED641}"/>
                    </c:ext>
                  </c:extLst>
                </c:dPt>
                <c:dPt>
                  <c:idx val="12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F7-59A0-40C0-AD98-10F8257B2D31}"/>
                    </c:ext>
                  </c:extLst>
                </c:dPt>
                <c:dPt>
                  <c:idx val="12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6F-E1EB-456A-BEBE-EF697796FB60}"/>
                    </c:ext>
                  </c:extLst>
                </c:dPt>
                <c:dPt>
                  <c:idx val="12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FB-59A0-40C0-AD98-10F8257B2D31}"/>
                    </c:ext>
                  </c:extLst>
                </c:dPt>
                <c:dPt>
                  <c:idx val="12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CD-0974-456E-BCB0-67A94FCED641}"/>
                    </c:ext>
                  </c:extLst>
                </c:dPt>
                <c:dPt>
                  <c:idx val="12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AD-56D1-4B49-8296-DC493F75A797}"/>
                    </c:ext>
                  </c:extLst>
                </c:dPt>
                <c:dPt>
                  <c:idx val="12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D1-0974-456E-BCB0-67A94FCED641}"/>
                    </c:ext>
                  </c:extLst>
                </c:dPt>
                <c:dPt>
                  <c:idx val="12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99-A1EF-4F42-976F-AFFE4AC901E9}"/>
                    </c:ext>
                  </c:extLst>
                </c:dPt>
                <c:dPt>
                  <c:idx val="12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B1-56D1-4B49-8296-DC493F75A797}"/>
                    </c:ext>
                  </c:extLst>
                </c:dPt>
                <c:dPt>
                  <c:idx val="12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85-EFE7-4A98-8625-4B8E9E30DD15}"/>
                    </c:ext>
                  </c:extLst>
                </c:dPt>
                <c:dPt>
                  <c:idx val="13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9D-A1EF-4F42-976F-AFFE4AC901E9}"/>
                    </c:ext>
                  </c:extLst>
                </c:dPt>
                <c:dPt>
                  <c:idx val="13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71-E1EB-456A-BEBE-EF697796FB60}"/>
                    </c:ext>
                  </c:extLst>
                </c:dPt>
                <c:dPt>
                  <c:idx val="13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89-EFE7-4A98-8625-4B8E9E30DD15}"/>
                    </c:ext>
                  </c:extLst>
                </c:dPt>
                <c:dPt>
                  <c:idx val="13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73-E1EB-456A-BEBE-EF697796FB60}"/>
                    </c:ext>
                  </c:extLst>
                </c:dPt>
                <c:dPt>
                  <c:idx val="13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75-E1EB-456A-BEBE-EF697796FB60}"/>
                    </c:ext>
                  </c:extLst>
                </c:dPt>
                <c:dPt>
                  <c:idx val="13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77-E1EB-456A-BEBE-EF697796FB60}"/>
                    </c:ext>
                  </c:extLst>
                </c:dPt>
                <c:dPt>
                  <c:idx val="13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79-E1EB-456A-BEBE-EF697796FB60}"/>
                    </c:ext>
                  </c:extLst>
                </c:dPt>
                <c:dPt>
                  <c:idx val="13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7B-E1EB-456A-BEBE-EF697796FB60}"/>
                    </c:ext>
                  </c:extLst>
                </c:dPt>
                <c:dPt>
                  <c:idx val="13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7D-E1EB-456A-BEBE-EF697796FB60}"/>
                    </c:ext>
                  </c:extLst>
                </c:dPt>
                <c:dPt>
                  <c:idx val="13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7F-E1EB-456A-BEBE-EF697796FB60}"/>
                    </c:ext>
                  </c:extLst>
                </c:dPt>
                <c:dPt>
                  <c:idx val="14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81-E1EB-456A-BEBE-EF697796FB60}"/>
                    </c:ext>
                  </c:extLst>
                </c:dPt>
                <c:dPt>
                  <c:idx val="14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83-E1EB-456A-BEBE-EF697796FB60}"/>
                    </c:ext>
                  </c:extLst>
                </c:dPt>
                <c:dPt>
                  <c:idx val="14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85-E1EB-456A-BEBE-EF697796FB60}"/>
                    </c:ext>
                  </c:extLst>
                </c:dPt>
                <c:dPt>
                  <c:idx val="14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87-E1EB-456A-BEBE-EF697796FB60}"/>
                    </c:ext>
                  </c:extLst>
                </c:dPt>
                <c:dPt>
                  <c:idx val="14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89-E1EB-456A-BEBE-EF697796FB60}"/>
                    </c:ext>
                  </c:extLst>
                </c:dPt>
                <c:dPt>
                  <c:idx val="14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8B-E1EB-456A-BEBE-EF697796FB60}"/>
                    </c:ext>
                  </c:extLst>
                </c:dPt>
                <c:dPt>
                  <c:idx val="14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8D-E1EB-456A-BEBE-EF697796FB60}"/>
                    </c:ext>
                  </c:extLst>
                </c:dPt>
                <c:dPt>
                  <c:idx val="14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8F-E1EB-456A-BEBE-EF697796FB60}"/>
                    </c:ext>
                  </c:extLst>
                </c:dPt>
                <c:dPt>
                  <c:idx val="14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91-E1EB-456A-BEBE-EF697796FB60}"/>
                    </c:ext>
                  </c:extLst>
                </c:dPt>
                <c:dPt>
                  <c:idx val="14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93-E1EB-456A-BEBE-EF697796FB60}"/>
                    </c:ext>
                  </c:extLst>
                </c:dPt>
                <c:dPt>
                  <c:idx val="15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95-E1EB-456A-BEBE-EF697796FB60}"/>
                    </c:ext>
                  </c:extLst>
                </c:dPt>
                <c:dPt>
                  <c:idx val="15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97-E1EB-456A-BEBE-EF697796FB60}"/>
                    </c:ext>
                  </c:extLst>
                </c:dPt>
                <c:dPt>
                  <c:idx val="15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99-E1EB-456A-BEBE-EF697796FB60}"/>
                    </c:ext>
                  </c:extLst>
                </c:dPt>
                <c:dPt>
                  <c:idx val="15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9B-E1EB-456A-BEBE-EF697796FB60}"/>
                    </c:ext>
                  </c:extLst>
                </c:dPt>
                <c:dPt>
                  <c:idx val="15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9D-E1EB-456A-BEBE-EF697796FB60}"/>
                    </c:ext>
                  </c:extLst>
                </c:dPt>
                <c:dPt>
                  <c:idx val="15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9F-E1EB-456A-BEBE-EF697796FB60}"/>
                    </c:ext>
                  </c:extLst>
                </c:dPt>
                <c:dPt>
                  <c:idx val="15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A1-E1EB-456A-BEBE-EF697796FB60}"/>
                    </c:ext>
                  </c:extLst>
                </c:dPt>
                <c:dPt>
                  <c:idx val="15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A3-E1EB-456A-BEBE-EF697796FB60}"/>
                    </c:ext>
                  </c:extLst>
                </c:dPt>
                <c:dPt>
                  <c:idx val="15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A5-E1EB-456A-BEBE-EF697796FB60}"/>
                    </c:ext>
                  </c:extLst>
                </c:dPt>
                <c:dPt>
                  <c:idx val="15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A7-E1EB-456A-BEBE-EF697796FB60}"/>
                    </c:ext>
                  </c:extLst>
                </c:dPt>
                <c:dPt>
                  <c:idx val="16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A9-E1EB-456A-BEBE-EF697796FB60}"/>
                    </c:ext>
                  </c:extLst>
                </c:dPt>
                <c:dPt>
                  <c:idx val="16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AB-E1EB-456A-BEBE-EF697796FB60}"/>
                    </c:ext>
                  </c:extLst>
                </c:dPt>
                <c:dPt>
                  <c:idx val="16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AD-E1EB-456A-BEBE-EF697796FB60}"/>
                    </c:ext>
                  </c:extLst>
                </c:dPt>
                <c:dPt>
                  <c:idx val="16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AF-E1EB-456A-BEBE-EF697796FB60}"/>
                    </c:ext>
                  </c:extLst>
                </c:dPt>
                <c:dPt>
                  <c:idx val="16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B1-E1EB-456A-BEBE-EF697796FB60}"/>
                    </c:ext>
                  </c:extLst>
                </c:dPt>
                <c:dPt>
                  <c:idx val="16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B3-E1EB-456A-BEBE-EF697796FB60}"/>
                    </c:ext>
                  </c:extLst>
                </c:dPt>
                <c:dPt>
                  <c:idx val="16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B5-E1EB-456A-BEBE-EF697796FB60}"/>
                    </c:ext>
                  </c:extLst>
                </c:dPt>
                <c:dPt>
                  <c:idx val="16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B7-E1EB-456A-BEBE-EF697796FB60}"/>
                    </c:ext>
                  </c:extLst>
                </c:dPt>
                <c:dPt>
                  <c:idx val="16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B9-E1EB-456A-BEBE-EF697796FB60}"/>
                    </c:ext>
                  </c:extLst>
                </c:dPt>
                <c:dPt>
                  <c:idx val="16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BB-E1EB-456A-BEBE-EF697796FB60}"/>
                    </c:ext>
                  </c:extLst>
                </c:dPt>
                <c:dPt>
                  <c:idx val="17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BD-E1EB-456A-BEBE-EF697796FB60}"/>
                    </c:ext>
                  </c:extLst>
                </c:dPt>
                <c:dPt>
                  <c:idx val="17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BF-E1EB-456A-BEBE-EF697796FB60}"/>
                    </c:ext>
                  </c:extLst>
                </c:dPt>
                <c:dPt>
                  <c:idx val="17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C1-E1EB-456A-BEBE-EF697796FB60}"/>
                    </c:ext>
                  </c:extLst>
                </c:dPt>
                <c:dPt>
                  <c:idx val="17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C3-E1EB-456A-BEBE-EF697796FB60}"/>
                    </c:ext>
                  </c:extLst>
                </c:dPt>
                <c:dPt>
                  <c:idx val="17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C5-E1EB-456A-BEBE-EF697796FB60}"/>
                    </c:ext>
                  </c:extLst>
                </c:dPt>
                <c:dPt>
                  <c:idx val="17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C7-E1EB-456A-BEBE-EF697796FB60}"/>
                    </c:ext>
                  </c:extLst>
                </c:dPt>
                <c:dPt>
                  <c:idx val="17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C9-E1EB-456A-BEBE-EF697796FB60}"/>
                    </c:ext>
                  </c:extLst>
                </c:dPt>
                <c:dPt>
                  <c:idx val="17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CB-E1EB-456A-BEBE-EF697796FB60}"/>
                    </c:ext>
                  </c:extLst>
                </c:dPt>
                <c:dPt>
                  <c:idx val="17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CD-E1EB-456A-BEBE-EF697796FB60}"/>
                    </c:ext>
                  </c:extLst>
                </c:dPt>
                <c:dPt>
                  <c:idx val="17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CF-E1EB-456A-BEBE-EF697796FB60}"/>
                    </c:ext>
                  </c:extLst>
                </c:dPt>
                <c:dPt>
                  <c:idx val="18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D1-E1EB-456A-BEBE-EF697796FB60}"/>
                    </c:ext>
                  </c:extLst>
                </c:dPt>
                <c:dPt>
                  <c:idx val="18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D3-E1EB-456A-BEBE-EF697796FB60}"/>
                    </c:ext>
                  </c:extLst>
                </c:dPt>
                <c:dPt>
                  <c:idx val="18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D5-E1EB-456A-BEBE-EF697796FB60}"/>
                    </c:ext>
                  </c:extLst>
                </c:dPt>
                <c:dPt>
                  <c:idx val="18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D7-E1EB-456A-BEBE-EF697796FB60}"/>
                    </c:ext>
                  </c:extLst>
                </c:dPt>
                <c:dPt>
                  <c:idx val="18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D9-E1EB-456A-BEBE-EF697796FB60}"/>
                    </c:ext>
                  </c:extLst>
                </c:dPt>
                <c:dPt>
                  <c:idx val="18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DB-E1EB-456A-BEBE-EF697796FB60}"/>
                    </c:ext>
                  </c:extLst>
                </c:dPt>
                <c:dPt>
                  <c:idx val="18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DD-E1EB-456A-BEBE-EF697796FB60}"/>
                    </c:ext>
                  </c:extLst>
                </c:dPt>
                <c:dPt>
                  <c:idx val="18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DF-E1EB-456A-BEBE-EF697796FB60}"/>
                    </c:ext>
                  </c:extLst>
                </c:dPt>
                <c:dPt>
                  <c:idx val="18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E1-E1EB-456A-BEBE-EF697796FB60}"/>
                    </c:ext>
                  </c:extLst>
                </c:dPt>
                <c:dPt>
                  <c:idx val="18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E3-E1EB-456A-BEBE-EF697796FB60}"/>
                    </c:ext>
                  </c:extLst>
                </c:dPt>
                <c:dPt>
                  <c:idx val="19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E5-E1EB-456A-BEBE-EF697796FB60}"/>
                    </c:ext>
                  </c:extLst>
                </c:dPt>
                <c:dPt>
                  <c:idx val="19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E7-E1EB-456A-BEBE-EF697796FB60}"/>
                    </c:ext>
                  </c:extLst>
                </c:dPt>
                <c:dPt>
                  <c:idx val="19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E9-E1EB-456A-BEBE-EF697796FB60}"/>
                    </c:ext>
                  </c:extLst>
                </c:dPt>
                <c:dPt>
                  <c:idx val="19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EB-E1EB-456A-BEBE-EF697796FB60}"/>
                    </c:ext>
                  </c:extLst>
                </c:dPt>
                <c:dPt>
                  <c:idx val="19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ED-E1EB-456A-BEBE-EF697796FB60}"/>
                    </c:ext>
                  </c:extLst>
                </c:dPt>
                <c:dPt>
                  <c:idx val="19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EF-E1EB-456A-BEBE-EF697796FB60}"/>
                    </c:ext>
                  </c:extLst>
                </c:dPt>
                <c:dPt>
                  <c:idx val="19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F1-E1EB-456A-BEBE-EF697796FB60}"/>
                    </c:ext>
                  </c:extLst>
                </c:dPt>
                <c:dPt>
                  <c:idx val="19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F3-E1EB-456A-BEBE-EF697796FB60}"/>
                    </c:ext>
                  </c:extLst>
                </c:dPt>
                <c:dPt>
                  <c:idx val="19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F5-E1EB-456A-BEBE-EF697796FB60}"/>
                    </c:ext>
                  </c:extLst>
                </c:dPt>
                <c:dPt>
                  <c:idx val="19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F7-E1EB-456A-BEBE-EF697796FB60}"/>
                    </c:ext>
                  </c:extLst>
                </c:dPt>
                <c:dPt>
                  <c:idx val="20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F9-E1EB-456A-BEBE-EF697796FB60}"/>
                    </c:ext>
                  </c:extLst>
                </c:dPt>
                <c:dPt>
                  <c:idx val="20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FB-E1EB-456A-BEBE-EF697796FB60}"/>
                    </c:ext>
                  </c:extLst>
                </c:dPt>
                <c:dPt>
                  <c:idx val="20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FD-E1EB-456A-BEBE-EF697796FB60}"/>
                    </c:ext>
                  </c:extLst>
                </c:dPt>
                <c:dPt>
                  <c:idx val="20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FF-E1EB-456A-BEBE-EF697796FB60}"/>
                    </c:ext>
                  </c:extLst>
                </c:dPt>
                <c:dPt>
                  <c:idx val="20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01-E1EB-456A-BEBE-EF697796FB60}"/>
                    </c:ext>
                  </c:extLst>
                </c:dPt>
                <c:dPt>
                  <c:idx val="20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03-E1EB-456A-BEBE-EF697796FB60}"/>
                    </c:ext>
                  </c:extLst>
                </c:dPt>
                <c:dPt>
                  <c:idx val="20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05-E1EB-456A-BEBE-EF697796FB60}"/>
                    </c:ext>
                  </c:extLst>
                </c:dPt>
                <c:dPt>
                  <c:idx val="20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07-E1EB-456A-BEBE-EF697796FB60}"/>
                    </c:ext>
                  </c:extLst>
                </c:dPt>
                <c:dPt>
                  <c:idx val="20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09-E1EB-456A-BEBE-EF697796FB60}"/>
                    </c:ext>
                  </c:extLst>
                </c:dPt>
                <c:dPt>
                  <c:idx val="20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0B-E1EB-456A-BEBE-EF697796FB60}"/>
                    </c:ext>
                  </c:extLst>
                </c:dPt>
                <c:dPt>
                  <c:idx val="21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0D-E1EB-456A-BEBE-EF697796FB60}"/>
                    </c:ext>
                  </c:extLst>
                </c:dPt>
                <c:dPt>
                  <c:idx val="21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0F-E1EB-456A-BEBE-EF697796FB60}"/>
                    </c:ext>
                  </c:extLst>
                </c:dPt>
                <c:dPt>
                  <c:idx val="21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11-E1EB-456A-BEBE-EF697796FB60}"/>
                    </c:ext>
                  </c:extLst>
                </c:dPt>
                <c:dPt>
                  <c:idx val="21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13-E1EB-456A-BEBE-EF697796FB60}"/>
                    </c:ext>
                  </c:extLst>
                </c:dPt>
                <c:dPt>
                  <c:idx val="21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15-E1EB-456A-BEBE-EF697796FB60}"/>
                    </c:ext>
                  </c:extLst>
                </c:dPt>
                <c:dPt>
                  <c:idx val="21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17-E1EB-456A-BEBE-EF697796FB60}"/>
                    </c:ext>
                  </c:extLst>
                </c:dPt>
                <c:dPt>
                  <c:idx val="21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19-E1EB-456A-BEBE-EF697796FB60}"/>
                    </c:ext>
                  </c:extLst>
                </c:dPt>
                <c:dPt>
                  <c:idx val="21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1B-E1EB-456A-BEBE-EF697796FB60}"/>
                    </c:ext>
                  </c:extLst>
                </c:dPt>
                <c:dPt>
                  <c:idx val="21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1D-E1EB-456A-BEBE-EF697796FB60}"/>
                    </c:ext>
                  </c:extLst>
                </c:dPt>
                <c:dPt>
                  <c:idx val="21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1F-E1EB-456A-BEBE-EF697796FB60}"/>
                    </c:ext>
                  </c:extLst>
                </c:dPt>
                <c:dPt>
                  <c:idx val="22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21-E1EB-456A-BEBE-EF697796FB60}"/>
                    </c:ext>
                  </c:extLst>
                </c:dPt>
                <c:dPt>
                  <c:idx val="22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23-E1EB-456A-BEBE-EF697796FB60}"/>
                    </c:ext>
                  </c:extLst>
                </c:dPt>
                <c:dPt>
                  <c:idx val="22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25-E1EB-456A-BEBE-EF697796FB60}"/>
                    </c:ext>
                  </c:extLst>
                </c:dPt>
                <c:dPt>
                  <c:idx val="22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27-E1EB-456A-BEBE-EF697796FB60}"/>
                    </c:ext>
                  </c:extLst>
                </c:dPt>
                <c:dPt>
                  <c:idx val="22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29-E1EB-456A-BEBE-EF697796FB60}"/>
                    </c:ext>
                  </c:extLst>
                </c:dPt>
                <c:dPt>
                  <c:idx val="22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2B-E1EB-456A-BEBE-EF697796FB60}"/>
                    </c:ext>
                  </c:extLst>
                </c:dPt>
                <c:dPt>
                  <c:idx val="22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2D-E1EB-456A-BEBE-EF697796FB60}"/>
                    </c:ext>
                  </c:extLst>
                </c:dPt>
                <c:dPt>
                  <c:idx val="22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2F-E1EB-456A-BEBE-EF697796FB60}"/>
                    </c:ext>
                  </c:extLst>
                </c:dPt>
                <c:dPt>
                  <c:idx val="22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31-E1EB-456A-BEBE-EF697796FB60}"/>
                    </c:ext>
                  </c:extLst>
                </c:dPt>
                <c:dPt>
                  <c:idx val="22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33-E1EB-456A-BEBE-EF697796FB60}"/>
                    </c:ext>
                  </c:extLst>
                </c:dPt>
                <c:dPt>
                  <c:idx val="23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35-E1EB-456A-BEBE-EF697796FB60}"/>
                    </c:ext>
                  </c:extLst>
                </c:dPt>
                <c:dPt>
                  <c:idx val="23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37-E1EB-456A-BEBE-EF697796FB60}"/>
                    </c:ext>
                  </c:extLst>
                </c:dPt>
                <c:dPt>
                  <c:idx val="23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39-E1EB-456A-BEBE-EF697796FB60}"/>
                    </c:ext>
                  </c:extLst>
                </c:dPt>
                <c:dPt>
                  <c:idx val="23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3B-E1EB-456A-BEBE-EF697796FB60}"/>
                    </c:ext>
                  </c:extLst>
                </c:dPt>
                <c:dPt>
                  <c:idx val="23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3D-E1EB-456A-BEBE-EF697796FB60}"/>
                    </c:ext>
                  </c:extLst>
                </c:dPt>
                <c:dPt>
                  <c:idx val="23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3F-E1EB-456A-BEBE-EF697796FB60}"/>
                    </c:ext>
                  </c:extLst>
                </c:dPt>
                <c:dPt>
                  <c:idx val="23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41-E1EB-456A-BEBE-EF697796FB60}"/>
                    </c:ext>
                  </c:extLst>
                </c:dPt>
                <c:dPt>
                  <c:idx val="23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43-E1EB-456A-BEBE-EF697796FB60}"/>
                    </c:ext>
                  </c:extLst>
                </c:dPt>
                <c:dPt>
                  <c:idx val="23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45-E1EB-456A-BEBE-EF697796FB60}"/>
                    </c:ext>
                  </c:extLst>
                </c:dPt>
                <c:dPt>
                  <c:idx val="23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47-E1EB-456A-BEBE-EF697796FB60}"/>
                    </c:ext>
                  </c:extLst>
                </c:dPt>
                <c:dPt>
                  <c:idx val="24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49-E1EB-456A-BEBE-EF697796FB60}"/>
                    </c:ext>
                  </c:extLst>
                </c:dPt>
                <c:dPt>
                  <c:idx val="24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4B-E1EB-456A-BEBE-EF697796FB60}"/>
                    </c:ext>
                  </c:extLst>
                </c:dPt>
                <c:dPt>
                  <c:idx val="24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4D-E1EB-456A-BEBE-EF697796FB60}"/>
                    </c:ext>
                  </c:extLst>
                </c:dPt>
                <c:dPt>
                  <c:idx val="24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4F-E1EB-456A-BEBE-EF697796FB60}"/>
                    </c:ext>
                  </c:extLst>
                </c:dPt>
                <c:dPt>
                  <c:idx val="24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51-E1EB-456A-BEBE-EF697796FB60}"/>
                    </c:ext>
                  </c:extLst>
                </c:dPt>
                <c:dPt>
                  <c:idx val="24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53-E1EB-456A-BEBE-EF697796FB60}"/>
                    </c:ext>
                  </c:extLst>
                </c:dPt>
                <c:dPt>
                  <c:idx val="24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55-E1EB-456A-BEBE-EF697796FB60}"/>
                    </c:ext>
                  </c:extLst>
                </c:dPt>
                <c:dPt>
                  <c:idx val="24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57-E1EB-456A-BEBE-EF697796FB60}"/>
                    </c:ext>
                  </c:extLst>
                </c:dPt>
                <c:dPt>
                  <c:idx val="24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59-E1EB-456A-BEBE-EF697796FB60}"/>
                    </c:ext>
                  </c:extLst>
                </c:dPt>
                <c:dPt>
                  <c:idx val="24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5B-E1EB-456A-BEBE-EF697796FB60}"/>
                    </c:ext>
                  </c:extLst>
                </c:dPt>
                <c:dPt>
                  <c:idx val="25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5D-E1EB-456A-BEBE-EF697796FB60}"/>
                    </c:ext>
                  </c:extLst>
                </c:dPt>
                <c:dPt>
                  <c:idx val="25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5F-E1EB-456A-BEBE-EF697796FB60}"/>
                    </c:ext>
                  </c:extLst>
                </c:dPt>
                <c:dPt>
                  <c:idx val="25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61-E1EB-456A-BEBE-EF697796FB60}"/>
                    </c:ext>
                  </c:extLst>
                </c:dPt>
                <c:dPt>
                  <c:idx val="25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63-E1EB-456A-BEBE-EF697796FB60}"/>
                    </c:ext>
                  </c:extLst>
                </c:dPt>
                <c:dPt>
                  <c:idx val="25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65-E1EB-456A-BEBE-EF697796FB60}"/>
                    </c:ext>
                  </c:extLst>
                </c:dPt>
                <c:dPt>
                  <c:idx val="25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67-E1EB-456A-BEBE-EF697796FB60}"/>
                    </c:ext>
                  </c:extLst>
                </c:dPt>
                <c:dPt>
                  <c:idx val="25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69-E1EB-456A-BEBE-EF697796FB60}"/>
                    </c:ext>
                  </c:extLst>
                </c:dPt>
                <c:dPt>
                  <c:idx val="25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6B-E1EB-456A-BEBE-EF697796FB60}"/>
                    </c:ext>
                  </c:extLst>
                </c:dPt>
                <c:dPt>
                  <c:idx val="25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6D-E1EB-456A-BEBE-EF697796FB60}"/>
                    </c:ext>
                  </c:extLst>
                </c:dPt>
                <c:dPt>
                  <c:idx val="25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6F-E1EB-456A-BEBE-EF697796FB60}"/>
                    </c:ext>
                  </c:extLst>
                </c:dPt>
                <c:dPt>
                  <c:idx val="26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71-E1EB-456A-BEBE-EF697796FB60}"/>
                    </c:ext>
                  </c:extLst>
                </c:dPt>
                <c:dPt>
                  <c:idx val="26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73-E1EB-456A-BEBE-EF697796FB60}"/>
                    </c:ext>
                  </c:extLst>
                </c:dPt>
                <c:dPt>
                  <c:idx val="26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75-E1EB-456A-BEBE-EF697796FB60}"/>
                    </c:ext>
                  </c:extLst>
                </c:dPt>
                <c:dPt>
                  <c:idx val="26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77-E1EB-456A-BEBE-EF697796FB60}"/>
                    </c:ext>
                  </c:extLst>
                </c:dPt>
                <c:dPt>
                  <c:idx val="26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79-E1EB-456A-BEBE-EF697796FB60}"/>
                    </c:ext>
                  </c:extLst>
                </c:dPt>
                <c:dPt>
                  <c:idx val="26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7B-E1EB-456A-BEBE-EF697796FB60}"/>
                    </c:ext>
                  </c:extLst>
                </c:dPt>
                <c:dPt>
                  <c:idx val="26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7D-E1EB-456A-BEBE-EF697796FB60}"/>
                    </c:ext>
                  </c:extLst>
                </c:dPt>
                <c:dPt>
                  <c:idx val="26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7F-E1EB-456A-BEBE-EF697796FB60}"/>
                    </c:ext>
                  </c:extLst>
                </c:dPt>
                <c:dPt>
                  <c:idx val="26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81-E1EB-456A-BEBE-EF697796FB60}"/>
                    </c:ext>
                  </c:extLst>
                </c:dPt>
                <c:dPt>
                  <c:idx val="26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83-E1EB-456A-BEBE-EF697796FB60}"/>
                    </c:ext>
                  </c:extLst>
                </c:dPt>
                <c:dPt>
                  <c:idx val="27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85-E1EB-456A-BEBE-EF697796FB60}"/>
                    </c:ext>
                  </c:extLst>
                </c:dPt>
                <c:dPt>
                  <c:idx val="27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87-E1EB-456A-BEBE-EF697796FB60}"/>
                    </c:ext>
                  </c:extLst>
                </c:dPt>
                <c:dPt>
                  <c:idx val="27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89-E1EB-456A-BEBE-EF697796FB60}"/>
                    </c:ext>
                  </c:extLst>
                </c:dPt>
                <c:dPt>
                  <c:idx val="27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8B-E1EB-456A-BEBE-EF697796FB60}"/>
                    </c:ext>
                  </c:extLst>
                </c:dPt>
                <c:dPt>
                  <c:idx val="27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8D-E1EB-456A-BEBE-EF697796FB60}"/>
                    </c:ext>
                  </c:extLst>
                </c:dPt>
                <c:dPt>
                  <c:idx val="27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8F-E1EB-456A-BEBE-EF697796FB60}"/>
                    </c:ext>
                  </c:extLst>
                </c:dPt>
                <c:dPt>
                  <c:idx val="27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91-E1EB-456A-BEBE-EF697796FB60}"/>
                    </c:ext>
                  </c:extLst>
                </c:dPt>
                <c:dPt>
                  <c:idx val="27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93-E1EB-456A-BEBE-EF697796FB60}"/>
                    </c:ext>
                  </c:extLst>
                </c:dPt>
                <c:dPt>
                  <c:idx val="27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95-E1EB-456A-BEBE-EF697796FB60}"/>
                    </c:ext>
                  </c:extLst>
                </c:dPt>
                <c:dPt>
                  <c:idx val="27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97-E1EB-456A-BEBE-EF697796FB60}"/>
                    </c:ext>
                  </c:extLst>
                </c:dPt>
                <c:dPt>
                  <c:idx val="28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99-E1EB-456A-BEBE-EF697796FB60}"/>
                    </c:ext>
                  </c:extLst>
                </c:dPt>
                <c:dPt>
                  <c:idx val="28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9B-E1EB-456A-BEBE-EF697796FB60}"/>
                    </c:ext>
                  </c:extLst>
                </c:dPt>
                <c:dPt>
                  <c:idx val="28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9D-E1EB-456A-BEBE-EF697796FB60}"/>
                    </c:ext>
                  </c:extLst>
                </c:dPt>
                <c:dPt>
                  <c:idx val="28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9F-E1EB-456A-BEBE-EF697796FB60}"/>
                    </c:ext>
                  </c:extLst>
                </c:dPt>
                <c:dPt>
                  <c:idx val="28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A1-E1EB-456A-BEBE-EF697796FB60}"/>
                    </c:ext>
                  </c:extLst>
                </c:dPt>
                <c:dPt>
                  <c:idx val="28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A3-E1EB-456A-BEBE-EF697796FB60}"/>
                    </c:ext>
                  </c:extLst>
                </c:dPt>
                <c:dPt>
                  <c:idx val="28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A5-E1EB-456A-BEBE-EF697796FB60}"/>
                    </c:ext>
                  </c:extLst>
                </c:dPt>
                <c:dPt>
                  <c:idx val="28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A7-E1EB-456A-BEBE-EF697796FB60}"/>
                    </c:ext>
                  </c:extLst>
                </c:dPt>
                <c:dPt>
                  <c:idx val="28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A9-E1EB-456A-BEBE-EF697796FB60}"/>
                    </c:ext>
                  </c:extLst>
                </c:dPt>
                <c:dPt>
                  <c:idx val="28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AB-E1EB-456A-BEBE-EF697796FB60}"/>
                    </c:ext>
                  </c:extLst>
                </c:dPt>
                <c:dPt>
                  <c:idx val="29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AD-E1EB-456A-BEBE-EF697796FB60}"/>
                    </c:ext>
                  </c:extLst>
                </c:dPt>
                <c:dPt>
                  <c:idx val="29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AF-E1EB-456A-BEBE-EF697796FB60}"/>
                    </c:ext>
                  </c:extLst>
                </c:dPt>
                <c:dPt>
                  <c:idx val="29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B1-E1EB-456A-BEBE-EF697796FB60}"/>
                    </c:ext>
                  </c:extLst>
                </c:dPt>
                <c:dPt>
                  <c:idx val="29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B3-E1EB-456A-BEBE-EF697796FB60}"/>
                    </c:ext>
                  </c:extLst>
                </c:dPt>
                <c:dPt>
                  <c:idx val="29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B5-E1EB-456A-BEBE-EF697796FB60}"/>
                    </c:ext>
                  </c:extLst>
                </c:dPt>
                <c:dPt>
                  <c:idx val="29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B7-E1EB-456A-BEBE-EF697796FB60}"/>
                    </c:ext>
                  </c:extLst>
                </c:dPt>
                <c:dPt>
                  <c:idx val="29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B9-E1EB-456A-BEBE-EF697796FB60}"/>
                    </c:ext>
                  </c:extLst>
                </c:dPt>
                <c:dPt>
                  <c:idx val="29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BB-E1EB-456A-BEBE-EF697796FB60}"/>
                    </c:ext>
                  </c:extLst>
                </c:dPt>
                <c:dPt>
                  <c:idx val="29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BD-E1EB-456A-BEBE-EF697796FB60}"/>
                    </c:ext>
                  </c:extLst>
                </c:dPt>
                <c:dPt>
                  <c:idx val="29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BF-E1EB-456A-BEBE-EF697796FB60}"/>
                    </c:ext>
                  </c:extLst>
                </c:dPt>
                <c:dPt>
                  <c:idx val="30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C1-E1EB-456A-BEBE-EF697796FB60}"/>
                    </c:ext>
                  </c:extLst>
                </c:dPt>
                <c:dPt>
                  <c:idx val="30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C3-E1EB-456A-BEBE-EF697796FB60}"/>
                    </c:ext>
                  </c:extLst>
                </c:dPt>
                <c:dPt>
                  <c:idx val="30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C5-E1EB-456A-BEBE-EF697796FB60}"/>
                    </c:ext>
                  </c:extLst>
                </c:dPt>
                <c:dPt>
                  <c:idx val="30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C7-E1EB-456A-BEBE-EF697796FB60}"/>
                    </c:ext>
                  </c:extLst>
                </c:dPt>
                <c:dPt>
                  <c:idx val="30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C9-E1EB-456A-BEBE-EF697796FB60}"/>
                    </c:ext>
                  </c:extLst>
                </c:dPt>
                <c:dPt>
                  <c:idx val="30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CB-E1EB-456A-BEBE-EF697796FB60}"/>
                    </c:ext>
                  </c:extLst>
                </c:dPt>
                <c:dPt>
                  <c:idx val="30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CD-E1EB-456A-BEBE-EF697796FB60}"/>
                    </c:ext>
                  </c:extLst>
                </c:dPt>
                <c:dPt>
                  <c:idx val="30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CF-E1EB-456A-BEBE-EF697796FB60}"/>
                    </c:ext>
                  </c:extLst>
                </c:dPt>
                <c:dPt>
                  <c:idx val="30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D1-E1EB-456A-BEBE-EF697796FB60}"/>
                    </c:ext>
                  </c:extLst>
                </c:dPt>
                <c:dPt>
                  <c:idx val="30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D3-E1EB-456A-BEBE-EF697796FB60}"/>
                    </c:ext>
                  </c:extLst>
                </c:dPt>
                <c:dPt>
                  <c:idx val="31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D5-E1EB-456A-BEBE-EF697796FB60}"/>
                    </c:ext>
                  </c:extLst>
                </c:dPt>
                <c:dPt>
                  <c:idx val="31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D7-E1EB-456A-BEBE-EF697796FB60}"/>
                    </c:ext>
                  </c:extLst>
                </c:dPt>
                <c:dPt>
                  <c:idx val="31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D9-E1EB-456A-BEBE-EF697796FB60}"/>
                    </c:ext>
                  </c:extLst>
                </c:dPt>
                <c:dPt>
                  <c:idx val="31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DB-E1EB-456A-BEBE-EF697796FB60}"/>
                    </c:ext>
                  </c:extLst>
                </c:dPt>
                <c:dPt>
                  <c:idx val="31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DD-E1EB-456A-BEBE-EF697796FB60}"/>
                    </c:ext>
                  </c:extLst>
                </c:dPt>
                <c:dPt>
                  <c:idx val="31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DF-E1EB-456A-BEBE-EF697796FB60}"/>
                    </c:ext>
                  </c:extLst>
                </c:dPt>
                <c:dPt>
                  <c:idx val="31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E1-E1EB-456A-BEBE-EF697796FB60}"/>
                    </c:ext>
                  </c:extLst>
                </c:dPt>
                <c:dPt>
                  <c:idx val="31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E3-E1EB-456A-BEBE-EF697796FB60}"/>
                    </c:ext>
                  </c:extLst>
                </c:dPt>
                <c:dPt>
                  <c:idx val="31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E5-E1EB-456A-BEBE-EF697796FB60}"/>
                    </c:ext>
                  </c:extLst>
                </c:dPt>
                <c:dPt>
                  <c:idx val="31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E7-E1EB-456A-BEBE-EF697796FB60}"/>
                    </c:ext>
                  </c:extLst>
                </c:dPt>
                <c:dPt>
                  <c:idx val="32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E9-E1EB-456A-BEBE-EF697796FB60}"/>
                    </c:ext>
                  </c:extLst>
                </c:dPt>
                <c:dPt>
                  <c:idx val="32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EB-E1EB-456A-BEBE-EF697796FB60}"/>
                    </c:ext>
                  </c:extLst>
                </c:dPt>
                <c:dPt>
                  <c:idx val="32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ED-E1EB-456A-BEBE-EF697796FB60}"/>
                    </c:ext>
                  </c:extLst>
                </c:dPt>
                <c:dPt>
                  <c:idx val="32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EF-E1EB-456A-BEBE-EF697796FB60}"/>
                    </c:ext>
                  </c:extLst>
                </c:dPt>
                <c:dPt>
                  <c:idx val="32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F1-E1EB-456A-BEBE-EF697796FB60}"/>
                    </c:ext>
                  </c:extLst>
                </c:dPt>
                <c:dPt>
                  <c:idx val="32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F3-E1EB-456A-BEBE-EF697796FB60}"/>
                    </c:ext>
                  </c:extLst>
                </c:dPt>
                <c:dPt>
                  <c:idx val="32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F5-E1EB-456A-BEBE-EF697796FB60}"/>
                    </c:ext>
                  </c:extLst>
                </c:dPt>
                <c:dPt>
                  <c:idx val="32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F7-E1EB-456A-BEBE-EF697796FB60}"/>
                    </c:ext>
                  </c:extLst>
                </c:dPt>
                <c:dPt>
                  <c:idx val="32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F9-E1EB-456A-BEBE-EF697796FB60}"/>
                    </c:ext>
                  </c:extLst>
                </c:dPt>
                <c:dPt>
                  <c:idx val="32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FB-E1EB-456A-BEBE-EF697796FB60}"/>
                    </c:ext>
                  </c:extLst>
                </c:dPt>
                <c:dPt>
                  <c:idx val="33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FD-E1EB-456A-BEBE-EF697796FB60}"/>
                    </c:ext>
                  </c:extLst>
                </c:dPt>
                <c:dPt>
                  <c:idx val="33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FF-E1EB-456A-BEBE-EF697796FB60}"/>
                    </c:ext>
                  </c:extLst>
                </c:dPt>
                <c:dPt>
                  <c:idx val="33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01-E1EB-456A-BEBE-EF697796FB60}"/>
                    </c:ext>
                  </c:extLst>
                </c:dPt>
                <c:dPt>
                  <c:idx val="33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03-E1EB-456A-BEBE-EF697796FB60}"/>
                    </c:ext>
                  </c:extLst>
                </c:dPt>
                <c:dPt>
                  <c:idx val="33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05-E1EB-456A-BEBE-EF697796FB60}"/>
                    </c:ext>
                  </c:extLst>
                </c:dPt>
                <c:dPt>
                  <c:idx val="33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07-E1EB-456A-BEBE-EF697796FB60}"/>
                    </c:ext>
                  </c:extLst>
                </c:dPt>
                <c:dPt>
                  <c:idx val="33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09-E1EB-456A-BEBE-EF697796FB60}"/>
                    </c:ext>
                  </c:extLst>
                </c:dPt>
                <c:dPt>
                  <c:idx val="33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0B-E1EB-456A-BEBE-EF697796FB60}"/>
                    </c:ext>
                  </c:extLst>
                </c:dPt>
                <c:dPt>
                  <c:idx val="33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0D-E1EB-456A-BEBE-EF697796FB60}"/>
                    </c:ext>
                  </c:extLst>
                </c:dPt>
                <c:dPt>
                  <c:idx val="33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0F-E1EB-456A-BEBE-EF697796FB60}"/>
                    </c:ext>
                  </c:extLst>
                </c:dPt>
                <c:dPt>
                  <c:idx val="34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11-E1EB-456A-BEBE-EF697796FB60}"/>
                    </c:ext>
                  </c:extLst>
                </c:dPt>
                <c:dPt>
                  <c:idx val="34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13-E1EB-456A-BEBE-EF697796FB60}"/>
                    </c:ext>
                  </c:extLst>
                </c:dPt>
                <c:dPt>
                  <c:idx val="34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15-E1EB-456A-BEBE-EF697796FB60}"/>
                    </c:ext>
                  </c:extLst>
                </c:dPt>
                <c:dPt>
                  <c:idx val="34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17-E1EB-456A-BEBE-EF697796FB60}"/>
                    </c:ext>
                  </c:extLst>
                </c:dPt>
                <c:dPt>
                  <c:idx val="34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19-E1EB-456A-BEBE-EF697796FB60}"/>
                    </c:ext>
                  </c:extLst>
                </c:dPt>
                <c:dPt>
                  <c:idx val="34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1B-E1EB-456A-BEBE-EF697796FB60}"/>
                    </c:ext>
                  </c:extLst>
                </c:dPt>
                <c:dPt>
                  <c:idx val="34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1D-E1EB-456A-BEBE-EF697796FB60}"/>
                    </c:ext>
                  </c:extLst>
                </c:dPt>
                <c:dPt>
                  <c:idx val="34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1F-E1EB-456A-BEBE-EF697796FB60}"/>
                    </c:ext>
                  </c:extLst>
                </c:dPt>
                <c:dPt>
                  <c:idx val="34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21-E1EB-456A-BEBE-EF697796FB60}"/>
                    </c:ext>
                  </c:extLst>
                </c:dPt>
                <c:dPt>
                  <c:idx val="34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23-E1EB-456A-BEBE-EF697796FB60}"/>
                    </c:ext>
                  </c:extLst>
                </c:dPt>
                <c:dPt>
                  <c:idx val="35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25-E1EB-456A-BEBE-EF697796FB60}"/>
                    </c:ext>
                  </c:extLst>
                </c:dPt>
                <c:dPt>
                  <c:idx val="35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27-E1EB-456A-BEBE-EF697796FB60}"/>
                    </c:ext>
                  </c:extLst>
                </c:dPt>
                <c:dPt>
                  <c:idx val="35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29-E1EB-456A-BEBE-EF697796FB60}"/>
                    </c:ext>
                  </c:extLst>
                </c:dPt>
                <c:dPt>
                  <c:idx val="35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2B-E1EB-456A-BEBE-EF697796FB60}"/>
                    </c:ext>
                  </c:extLst>
                </c:dPt>
                <c:dPt>
                  <c:idx val="35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2D-E1EB-456A-BEBE-EF697796FB60}"/>
                    </c:ext>
                  </c:extLst>
                </c:dPt>
                <c:dPt>
                  <c:idx val="35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2F-E1EB-456A-BEBE-EF697796FB60}"/>
                    </c:ext>
                  </c:extLst>
                </c:dPt>
                <c:dPt>
                  <c:idx val="35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31-E1EB-456A-BEBE-EF697796FB60}"/>
                    </c:ext>
                  </c:extLst>
                </c:dPt>
                <c:dPt>
                  <c:idx val="35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33-E1EB-456A-BEBE-EF697796FB60}"/>
                    </c:ext>
                  </c:extLst>
                </c:dPt>
                <c:dPt>
                  <c:idx val="35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35-E1EB-456A-BEBE-EF697796FB60}"/>
                    </c:ext>
                  </c:extLst>
                </c:dPt>
                <c:dPt>
                  <c:idx val="35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37-E1EB-456A-BEBE-EF697796FB60}"/>
                    </c:ext>
                  </c:extLst>
                </c:dPt>
                <c:dPt>
                  <c:idx val="36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39-E1EB-456A-BEBE-EF697796FB60}"/>
                    </c:ext>
                  </c:extLst>
                </c:dPt>
                <c:dPt>
                  <c:idx val="36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3B-E1EB-456A-BEBE-EF697796FB60}"/>
                    </c:ext>
                  </c:extLst>
                </c:dPt>
                <c:dPt>
                  <c:idx val="36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3D-E1EB-456A-BEBE-EF697796FB60}"/>
                    </c:ext>
                  </c:extLst>
                </c:dPt>
                <c:dPt>
                  <c:idx val="36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3F-E1EB-456A-BEBE-EF697796FB60}"/>
                    </c:ext>
                  </c:extLst>
                </c:dPt>
                <c:dPt>
                  <c:idx val="36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41-E1EB-456A-BEBE-EF697796FB60}"/>
                    </c:ext>
                  </c:extLst>
                </c:dPt>
                <c:dPt>
                  <c:idx val="36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43-E1EB-456A-BEBE-EF697796FB60}"/>
                    </c:ext>
                  </c:extLst>
                </c:dPt>
                <c:dPt>
                  <c:idx val="36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45-E1EB-456A-BEBE-EF697796FB60}"/>
                    </c:ext>
                  </c:extLst>
                </c:dPt>
                <c:dPt>
                  <c:idx val="36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47-E1EB-456A-BEBE-EF697796FB60}"/>
                    </c:ext>
                  </c:extLst>
                </c:dPt>
                <c:dPt>
                  <c:idx val="36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49-E1EB-456A-BEBE-EF697796FB60}"/>
                    </c:ext>
                  </c:extLst>
                </c:dPt>
                <c:dPt>
                  <c:idx val="36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4B-E1EB-456A-BEBE-EF697796FB60}"/>
                    </c:ext>
                  </c:extLst>
                </c:dPt>
                <c:dPt>
                  <c:idx val="37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4D-E1EB-456A-BEBE-EF697796FB60}"/>
                    </c:ext>
                  </c:extLst>
                </c:dPt>
                <c:dPt>
                  <c:idx val="37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4F-E1EB-456A-BEBE-EF697796FB60}"/>
                    </c:ext>
                  </c:extLst>
                </c:dPt>
                <c:dPt>
                  <c:idx val="37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51-E1EB-456A-BEBE-EF697796FB60}"/>
                    </c:ext>
                  </c:extLst>
                </c:dPt>
                <c:dPt>
                  <c:idx val="37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53-E1EB-456A-BEBE-EF697796FB60}"/>
                    </c:ext>
                  </c:extLst>
                </c:dPt>
                <c:dPt>
                  <c:idx val="37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55-E1EB-456A-BEBE-EF697796FB60}"/>
                    </c:ext>
                  </c:extLst>
                </c:dPt>
                <c:dPt>
                  <c:idx val="37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57-E1EB-456A-BEBE-EF697796FB60}"/>
                    </c:ext>
                  </c:extLst>
                </c:dPt>
                <c:dPt>
                  <c:idx val="37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59-E1EB-456A-BEBE-EF697796FB60}"/>
                    </c:ext>
                  </c:extLst>
                </c:dPt>
                <c:dPt>
                  <c:idx val="37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5B-E1EB-456A-BEBE-EF697796FB60}"/>
                    </c:ext>
                  </c:extLst>
                </c:dPt>
                <c:dPt>
                  <c:idx val="37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5D-E1EB-456A-BEBE-EF697796FB60}"/>
                    </c:ext>
                  </c:extLst>
                </c:dPt>
                <c:dPt>
                  <c:idx val="37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5F-E1EB-456A-BEBE-EF697796FB60}"/>
                    </c:ext>
                  </c:extLst>
                </c:dPt>
                <c:dPt>
                  <c:idx val="38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61-E1EB-456A-BEBE-EF697796FB60}"/>
                    </c:ext>
                  </c:extLst>
                </c:dPt>
                <c:dPt>
                  <c:idx val="38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63-E1EB-456A-BEBE-EF697796FB60}"/>
                    </c:ext>
                  </c:extLst>
                </c:dPt>
                <c:dPt>
                  <c:idx val="38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65-E1EB-456A-BEBE-EF697796FB60}"/>
                    </c:ext>
                  </c:extLst>
                </c:dPt>
                <c:dPt>
                  <c:idx val="38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67-E1EB-456A-BEBE-EF697796FB60}"/>
                    </c:ext>
                  </c:extLst>
                </c:dPt>
                <c:dPt>
                  <c:idx val="38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69-E1EB-456A-BEBE-EF697796FB60}"/>
                    </c:ext>
                  </c:extLst>
                </c:dPt>
                <c:dPt>
                  <c:idx val="38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6B-E1EB-456A-BEBE-EF697796FB60}"/>
                    </c:ext>
                  </c:extLst>
                </c:dPt>
                <c:dPt>
                  <c:idx val="38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6D-E1EB-456A-BEBE-EF697796FB60}"/>
                    </c:ext>
                  </c:extLst>
                </c:dPt>
                <c:dPt>
                  <c:idx val="38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6F-E1EB-456A-BEBE-EF697796FB60}"/>
                    </c:ext>
                  </c:extLst>
                </c:dPt>
                <c:dPt>
                  <c:idx val="38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71-E1EB-456A-BEBE-EF697796FB60}"/>
                    </c:ext>
                  </c:extLst>
                </c:dPt>
                <c:dPt>
                  <c:idx val="38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73-E1EB-456A-BEBE-EF697796FB60}"/>
                    </c:ext>
                  </c:extLst>
                </c:dPt>
                <c:dPt>
                  <c:idx val="39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75-E1EB-456A-BEBE-EF697796FB60}"/>
                    </c:ext>
                  </c:extLst>
                </c:dPt>
                <c:dPt>
                  <c:idx val="39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77-E1EB-456A-BEBE-EF697796FB60}"/>
                    </c:ext>
                  </c:extLst>
                </c:dPt>
                <c:dPt>
                  <c:idx val="39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79-E1EB-456A-BEBE-EF697796FB60}"/>
                    </c:ext>
                  </c:extLst>
                </c:dPt>
                <c:dPt>
                  <c:idx val="39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7B-E1EB-456A-BEBE-EF697796FB60}"/>
                    </c:ext>
                  </c:extLst>
                </c:dPt>
                <c:dPt>
                  <c:idx val="39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7D-E1EB-456A-BEBE-EF697796FB60}"/>
                    </c:ext>
                  </c:extLst>
                </c:dPt>
                <c:dPt>
                  <c:idx val="39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7F-E1EB-456A-BEBE-EF697796FB60}"/>
                    </c:ext>
                  </c:extLst>
                </c:dPt>
                <c:dPt>
                  <c:idx val="39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81-E1EB-456A-BEBE-EF697796FB60}"/>
                    </c:ext>
                  </c:extLst>
                </c:dPt>
                <c:dPt>
                  <c:idx val="39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83-E1EB-456A-BEBE-EF697796FB60}"/>
                    </c:ext>
                  </c:extLst>
                </c:dPt>
                <c:dPt>
                  <c:idx val="39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85-E1EB-456A-BEBE-EF697796FB60}"/>
                    </c:ext>
                  </c:extLst>
                </c:dPt>
                <c:dPt>
                  <c:idx val="39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87-E1EB-456A-BEBE-EF697796FB60}"/>
                    </c:ext>
                  </c:extLst>
                </c:dPt>
                <c:dPt>
                  <c:idx val="40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89-E1EB-456A-BEBE-EF697796FB60}"/>
                    </c:ext>
                  </c:extLst>
                </c:dPt>
                <c:dPt>
                  <c:idx val="40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8B-E1EB-456A-BEBE-EF697796FB60}"/>
                    </c:ext>
                  </c:extLst>
                </c:dPt>
                <c:dPt>
                  <c:idx val="40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8D-E1EB-456A-BEBE-EF697796FB60}"/>
                    </c:ext>
                  </c:extLst>
                </c:dPt>
                <c:dPt>
                  <c:idx val="40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8F-E1EB-456A-BEBE-EF697796FB60}"/>
                    </c:ext>
                  </c:extLst>
                </c:dPt>
                <c:dPt>
                  <c:idx val="40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91-E1EB-456A-BEBE-EF697796FB60}"/>
                    </c:ext>
                  </c:extLst>
                </c:dPt>
                <c:dPt>
                  <c:idx val="40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93-E1EB-456A-BEBE-EF697796FB60}"/>
                    </c:ext>
                  </c:extLst>
                </c:dPt>
                <c:dPt>
                  <c:idx val="40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95-E1EB-456A-BEBE-EF697796FB60}"/>
                    </c:ext>
                  </c:extLst>
                </c:dPt>
                <c:dPt>
                  <c:idx val="40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97-E1EB-456A-BEBE-EF697796FB60}"/>
                    </c:ext>
                  </c:extLst>
                </c:dPt>
                <c:dPt>
                  <c:idx val="40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99-E1EB-456A-BEBE-EF697796FB60}"/>
                    </c:ext>
                  </c:extLst>
                </c:dPt>
                <c:dPt>
                  <c:idx val="40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9B-E1EB-456A-BEBE-EF697796FB60}"/>
                    </c:ext>
                  </c:extLst>
                </c:dPt>
                <c:dPt>
                  <c:idx val="41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9D-E1EB-456A-BEBE-EF697796FB60}"/>
                    </c:ext>
                  </c:extLst>
                </c:dPt>
                <c:dPt>
                  <c:idx val="41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9F-E1EB-456A-BEBE-EF697796FB60}"/>
                    </c:ext>
                  </c:extLst>
                </c:dPt>
                <c:dPt>
                  <c:idx val="41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A1-E1EB-456A-BEBE-EF697796FB60}"/>
                    </c:ext>
                  </c:extLst>
                </c:dPt>
                <c:dPt>
                  <c:idx val="41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A3-E1EB-456A-BEBE-EF697796FB60}"/>
                    </c:ext>
                  </c:extLst>
                </c:dPt>
                <c:dPt>
                  <c:idx val="41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A5-E1EB-456A-BEBE-EF697796FB60}"/>
                    </c:ext>
                  </c:extLst>
                </c:dPt>
                <c:dPt>
                  <c:idx val="41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A7-E1EB-456A-BEBE-EF697796FB60}"/>
                    </c:ext>
                  </c:extLst>
                </c:dPt>
                <c:dPt>
                  <c:idx val="41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A9-E1EB-456A-BEBE-EF697796FB60}"/>
                    </c:ext>
                  </c:extLst>
                </c:dPt>
                <c:dPt>
                  <c:idx val="41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AB-E1EB-456A-BEBE-EF697796FB60}"/>
                    </c:ext>
                  </c:extLst>
                </c:dPt>
                <c:dPt>
                  <c:idx val="41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AD-E1EB-456A-BEBE-EF697796FB60}"/>
                    </c:ext>
                  </c:extLst>
                </c:dPt>
                <c:dPt>
                  <c:idx val="41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AF-E1EB-456A-BEBE-EF697796FB60}"/>
                    </c:ext>
                  </c:extLst>
                </c:dPt>
                <c:dPt>
                  <c:idx val="42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B1-E1EB-456A-BEBE-EF697796FB60}"/>
                    </c:ext>
                  </c:extLst>
                </c:dPt>
                <c:dPt>
                  <c:idx val="42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B3-E1EB-456A-BEBE-EF697796FB60}"/>
                    </c:ext>
                  </c:extLst>
                </c:dPt>
                <c:dPt>
                  <c:idx val="42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B5-E1EB-456A-BEBE-EF697796FB60}"/>
                    </c:ext>
                  </c:extLst>
                </c:dPt>
                <c:dPt>
                  <c:idx val="42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B7-E1EB-456A-BEBE-EF697796FB60}"/>
                    </c:ext>
                  </c:extLst>
                </c:dPt>
                <c:dPt>
                  <c:idx val="42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B9-E1EB-456A-BEBE-EF697796FB60}"/>
                    </c:ext>
                  </c:extLst>
                </c:dPt>
                <c:dPt>
                  <c:idx val="42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BB-E1EB-456A-BEBE-EF697796FB60}"/>
                    </c:ext>
                  </c:extLst>
                </c:dPt>
                <c:dPt>
                  <c:idx val="42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BD-E1EB-456A-BEBE-EF697796FB60}"/>
                    </c:ext>
                  </c:extLst>
                </c:dPt>
                <c:dPt>
                  <c:idx val="42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BF-E1EB-456A-BEBE-EF697796FB60}"/>
                    </c:ext>
                  </c:extLst>
                </c:dPt>
                <c:dPt>
                  <c:idx val="42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C1-E1EB-456A-BEBE-EF697796FB60}"/>
                    </c:ext>
                  </c:extLst>
                </c:dPt>
                <c:dPt>
                  <c:idx val="42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C3-E1EB-456A-BEBE-EF697796FB60}"/>
                    </c:ext>
                  </c:extLst>
                </c:dPt>
                <c:dPt>
                  <c:idx val="43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C5-E1EB-456A-BEBE-EF697796FB60}"/>
                    </c:ext>
                  </c:extLst>
                </c:dPt>
                <c:dPt>
                  <c:idx val="43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C7-E1EB-456A-BEBE-EF697796FB60}"/>
                    </c:ext>
                  </c:extLst>
                </c:dPt>
                <c:dPt>
                  <c:idx val="43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C9-E1EB-456A-BEBE-EF697796FB60}"/>
                    </c:ext>
                  </c:extLst>
                </c:dPt>
                <c:dPt>
                  <c:idx val="43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CB-E1EB-456A-BEBE-EF697796FB60}"/>
                    </c:ext>
                  </c:extLst>
                </c:dPt>
                <c:dPt>
                  <c:idx val="43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CD-E1EB-456A-BEBE-EF697796FB60}"/>
                    </c:ext>
                  </c:extLst>
                </c:dPt>
                <c:dPt>
                  <c:idx val="43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CF-E1EB-456A-BEBE-EF697796FB60}"/>
                    </c:ext>
                  </c:extLst>
                </c:dPt>
                <c:dPt>
                  <c:idx val="43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D1-E1EB-456A-BEBE-EF697796FB60}"/>
                    </c:ext>
                  </c:extLst>
                </c:dPt>
                <c:dPt>
                  <c:idx val="43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D3-E1EB-456A-BEBE-EF697796FB60}"/>
                    </c:ext>
                  </c:extLst>
                </c:dPt>
                <c:dPt>
                  <c:idx val="43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D5-E1EB-456A-BEBE-EF697796FB60}"/>
                    </c:ext>
                  </c:extLst>
                </c:dPt>
                <c:dPt>
                  <c:idx val="43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D7-E1EB-456A-BEBE-EF697796FB60}"/>
                    </c:ext>
                  </c:extLst>
                </c:dPt>
                <c:dPt>
                  <c:idx val="44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D9-E1EB-456A-BEBE-EF697796FB60}"/>
                    </c:ext>
                  </c:extLst>
                </c:dPt>
                <c:dPt>
                  <c:idx val="44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DB-E1EB-456A-BEBE-EF697796FB60}"/>
                    </c:ext>
                  </c:extLst>
                </c:dPt>
                <c:dPt>
                  <c:idx val="44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DD-E1EB-456A-BEBE-EF697796FB60}"/>
                    </c:ext>
                  </c:extLst>
                </c:dPt>
                <c:dPt>
                  <c:idx val="44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DF-E1EB-456A-BEBE-EF697796FB60}"/>
                    </c:ext>
                  </c:extLst>
                </c:dPt>
                <c:dPt>
                  <c:idx val="44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E1-E1EB-456A-BEBE-EF697796FB60}"/>
                    </c:ext>
                  </c:extLst>
                </c:dPt>
                <c:dPt>
                  <c:idx val="44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E3-E1EB-456A-BEBE-EF697796FB60}"/>
                    </c:ext>
                  </c:extLst>
                </c:dPt>
                <c:dPt>
                  <c:idx val="44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E5-E1EB-456A-BEBE-EF697796FB60}"/>
                    </c:ext>
                  </c:extLst>
                </c:dPt>
                <c:dPt>
                  <c:idx val="44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E7-E1EB-456A-BEBE-EF697796FB60}"/>
                    </c:ext>
                  </c:extLst>
                </c:dPt>
                <c:dPt>
                  <c:idx val="44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E9-E1EB-456A-BEBE-EF697796FB60}"/>
                    </c:ext>
                  </c:extLst>
                </c:dPt>
                <c:dPt>
                  <c:idx val="44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EB-E1EB-456A-BEBE-EF697796FB60}"/>
                    </c:ext>
                  </c:extLst>
                </c:dPt>
                <c:dPt>
                  <c:idx val="45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ED-E1EB-456A-BEBE-EF697796FB60}"/>
                    </c:ext>
                  </c:extLst>
                </c:dPt>
                <c:dPt>
                  <c:idx val="45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EF-E1EB-456A-BEBE-EF697796FB60}"/>
                    </c:ext>
                  </c:extLst>
                </c:dPt>
                <c:dPt>
                  <c:idx val="45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F1-E1EB-456A-BEBE-EF697796FB60}"/>
                    </c:ext>
                  </c:extLst>
                </c:dPt>
                <c:dPt>
                  <c:idx val="45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F3-E1EB-456A-BEBE-EF697796FB60}"/>
                    </c:ext>
                  </c:extLst>
                </c:dPt>
                <c:dPt>
                  <c:idx val="45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F5-E1EB-456A-BEBE-EF697796FB60}"/>
                    </c:ext>
                  </c:extLst>
                </c:dPt>
                <c:dPt>
                  <c:idx val="45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F7-E1EB-456A-BEBE-EF697796FB60}"/>
                    </c:ext>
                  </c:extLst>
                </c:dPt>
                <c:dPt>
                  <c:idx val="45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F9-E1EB-456A-BEBE-EF697796FB60}"/>
                    </c:ext>
                  </c:extLst>
                </c:dPt>
                <c:dPt>
                  <c:idx val="45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FB-E1EB-456A-BEBE-EF697796FB60}"/>
                    </c:ext>
                  </c:extLst>
                </c:dPt>
                <c:dPt>
                  <c:idx val="45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FD-E1EB-456A-BEBE-EF697796FB60}"/>
                    </c:ext>
                  </c:extLst>
                </c:dPt>
                <c:dPt>
                  <c:idx val="45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FF-E1EB-456A-BEBE-EF697796FB60}"/>
                    </c:ext>
                  </c:extLst>
                </c:dPt>
                <c:dPt>
                  <c:idx val="46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01-E1EB-456A-BEBE-EF697796FB60}"/>
                    </c:ext>
                  </c:extLst>
                </c:dPt>
                <c:dPt>
                  <c:idx val="46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03-E1EB-456A-BEBE-EF697796FB60}"/>
                    </c:ext>
                  </c:extLst>
                </c:dPt>
                <c:dPt>
                  <c:idx val="46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05-E1EB-456A-BEBE-EF697796FB60}"/>
                    </c:ext>
                  </c:extLst>
                </c:dPt>
                <c:dPt>
                  <c:idx val="46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07-E1EB-456A-BEBE-EF697796FB60}"/>
                    </c:ext>
                  </c:extLst>
                </c:dPt>
                <c:dPt>
                  <c:idx val="46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09-E1EB-456A-BEBE-EF697796FB60}"/>
                    </c:ext>
                  </c:extLst>
                </c:dPt>
                <c:dPt>
                  <c:idx val="46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0B-E1EB-456A-BEBE-EF697796FB60}"/>
                    </c:ext>
                  </c:extLst>
                </c:dPt>
                <c:dPt>
                  <c:idx val="46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0D-E1EB-456A-BEBE-EF697796FB60}"/>
                    </c:ext>
                  </c:extLst>
                </c:dPt>
                <c:dPt>
                  <c:idx val="46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0F-E1EB-456A-BEBE-EF697796FB60}"/>
                    </c:ext>
                  </c:extLst>
                </c:dPt>
                <c:dPt>
                  <c:idx val="46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11-E1EB-456A-BEBE-EF697796FB60}"/>
                    </c:ext>
                  </c:extLst>
                </c:dPt>
                <c:dPt>
                  <c:idx val="46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13-E1EB-456A-BEBE-EF697796FB60}"/>
                    </c:ext>
                  </c:extLst>
                </c:dPt>
                <c:dPt>
                  <c:idx val="47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15-E1EB-456A-BEBE-EF697796FB60}"/>
                    </c:ext>
                  </c:extLst>
                </c:dPt>
                <c:dPt>
                  <c:idx val="47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17-E1EB-456A-BEBE-EF697796FB60}"/>
                    </c:ext>
                  </c:extLst>
                </c:dPt>
                <c:dPt>
                  <c:idx val="47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19-E1EB-456A-BEBE-EF697796FB60}"/>
                    </c:ext>
                  </c:extLst>
                </c:dPt>
                <c:dPt>
                  <c:idx val="47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1B-E1EB-456A-BEBE-EF697796FB60}"/>
                    </c:ext>
                  </c:extLst>
                </c:dPt>
                <c:dPt>
                  <c:idx val="47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1D-E1EB-456A-BEBE-EF697796FB60}"/>
                    </c:ext>
                  </c:extLst>
                </c:dPt>
                <c:dPt>
                  <c:idx val="47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1F-E1EB-456A-BEBE-EF697796FB60}"/>
                    </c:ext>
                  </c:extLst>
                </c:dPt>
                <c:dPt>
                  <c:idx val="47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21-E1EB-456A-BEBE-EF697796FB60}"/>
                    </c:ext>
                  </c:extLst>
                </c:dPt>
                <c:dPt>
                  <c:idx val="47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23-E1EB-456A-BEBE-EF697796FB60}"/>
                    </c:ext>
                  </c:extLst>
                </c:dPt>
                <c:dPt>
                  <c:idx val="47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25-E1EB-456A-BEBE-EF697796FB60}"/>
                    </c:ext>
                  </c:extLst>
                </c:dPt>
                <c:dPt>
                  <c:idx val="47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27-E1EB-456A-BEBE-EF697796FB60}"/>
                    </c:ext>
                  </c:extLst>
                </c:dPt>
                <c:dPt>
                  <c:idx val="48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29-E1EB-456A-BEBE-EF697796FB60}"/>
                    </c:ext>
                  </c:extLst>
                </c:dPt>
                <c:dPt>
                  <c:idx val="48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2B-E1EB-456A-BEBE-EF697796FB60}"/>
                    </c:ext>
                  </c:extLst>
                </c:dPt>
                <c:dPt>
                  <c:idx val="48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2D-E1EB-456A-BEBE-EF697796FB60}"/>
                    </c:ext>
                  </c:extLst>
                </c:dPt>
                <c:dPt>
                  <c:idx val="48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2F-E1EB-456A-BEBE-EF697796FB60}"/>
                    </c:ext>
                  </c:extLst>
                </c:dPt>
                <c:dPt>
                  <c:idx val="48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31-E1EB-456A-BEBE-EF697796FB60}"/>
                    </c:ext>
                  </c:extLst>
                </c:dPt>
                <c:dPt>
                  <c:idx val="48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33-E1EB-456A-BEBE-EF697796FB60}"/>
                    </c:ext>
                  </c:extLst>
                </c:dPt>
                <c:dPt>
                  <c:idx val="48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35-E1EB-456A-BEBE-EF697796FB60}"/>
                    </c:ext>
                  </c:extLst>
                </c:dPt>
                <c:dPt>
                  <c:idx val="48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37-E1EB-456A-BEBE-EF697796FB60}"/>
                    </c:ext>
                  </c:extLst>
                </c:dPt>
                <c:dPt>
                  <c:idx val="48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39-E1EB-456A-BEBE-EF697796FB60}"/>
                    </c:ext>
                  </c:extLst>
                </c:dPt>
                <c:dPt>
                  <c:idx val="48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3B-E1EB-456A-BEBE-EF697796FB60}"/>
                    </c:ext>
                  </c:extLst>
                </c:dPt>
                <c:dPt>
                  <c:idx val="49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3D-E1EB-456A-BEBE-EF697796FB60}"/>
                    </c:ext>
                  </c:extLst>
                </c:dPt>
                <c:dPt>
                  <c:idx val="49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3F-E1EB-456A-BEBE-EF697796FB60}"/>
                    </c:ext>
                  </c:extLst>
                </c:dPt>
                <c:dPt>
                  <c:idx val="49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41-E1EB-456A-BEBE-EF697796FB60}"/>
                    </c:ext>
                  </c:extLst>
                </c:dPt>
                <c:dPt>
                  <c:idx val="49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43-E1EB-456A-BEBE-EF697796FB60}"/>
                    </c:ext>
                  </c:extLst>
                </c:dPt>
                <c:dPt>
                  <c:idx val="49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45-E1EB-456A-BEBE-EF697796FB60}"/>
                    </c:ext>
                  </c:extLst>
                </c:dPt>
                <c:dPt>
                  <c:idx val="49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47-E1EB-456A-BEBE-EF697796FB60}"/>
                    </c:ext>
                  </c:extLst>
                </c:dPt>
                <c:dPt>
                  <c:idx val="49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49-E1EB-456A-BEBE-EF697796FB60}"/>
                    </c:ext>
                  </c:extLst>
                </c:dPt>
                <c:dPt>
                  <c:idx val="49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4B-E1EB-456A-BEBE-EF697796FB60}"/>
                    </c:ext>
                  </c:extLst>
                </c:dPt>
                <c:dPt>
                  <c:idx val="49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4D-E1EB-456A-BEBE-EF697796FB60}"/>
                    </c:ext>
                  </c:extLst>
                </c:dPt>
                <c:dPt>
                  <c:idx val="49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4F-E1EB-456A-BEBE-EF697796FB60}"/>
                    </c:ext>
                  </c:extLst>
                </c:dPt>
                <c:dPt>
                  <c:idx val="50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51-E1EB-456A-BEBE-EF697796FB60}"/>
                    </c:ext>
                  </c:extLst>
                </c:dPt>
                <c:dPt>
                  <c:idx val="50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53-E1EB-456A-BEBE-EF697796FB60}"/>
                    </c:ext>
                  </c:extLst>
                </c:dPt>
                <c:dPt>
                  <c:idx val="50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55-E1EB-456A-BEBE-EF697796FB60}"/>
                    </c:ext>
                  </c:extLst>
                </c:dPt>
                <c:dPt>
                  <c:idx val="50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57-E1EB-456A-BEBE-EF697796FB60}"/>
                    </c:ext>
                  </c:extLst>
                </c:dPt>
                <c:dPt>
                  <c:idx val="50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59-E1EB-456A-BEBE-EF697796FB60}"/>
                    </c:ext>
                  </c:extLst>
                </c:dPt>
                <c:dPt>
                  <c:idx val="50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5B-E1EB-456A-BEBE-EF697796FB60}"/>
                    </c:ext>
                  </c:extLst>
                </c:dPt>
                <c:dPt>
                  <c:idx val="50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5D-E1EB-456A-BEBE-EF697796FB60}"/>
                    </c:ext>
                  </c:extLst>
                </c:dPt>
                <c:dPt>
                  <c:idx val="50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5F-E1EB-456A-BEBE-EF697796FB60}"/>
                    </c:ext>
                  </c:extLst>
                </c:dPt>
                <c:dPt>
                  <c:idx val="50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61-E1EB-456A-BEBE-EF697796FB60}"/>
                    </c:ext>
                  </c:extLst>
                </c:dPt>
                <c:dPt>
                  <c:idx val="50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63-E1EB-456A-BEBE-EF697796FB60}"/>
                    </c:ext>
                  </c:extLst>
                </c:dPt>
                <c:dPt>
                  <c:idx val="51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65-E1EB-456A-BEBE-EF697796FB60}"/>
                    </c:ext>
                  </c:extLst>
                </c:dPt>
                <c:dPt>
                  <c:idx val="51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67-E1EB-456A-BEBE-EF697796FB60}"/>
                    </c:ext>
                  </c:extLst>
                </c:dPt>
                <c:dPt>
                  <c:idx val="51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69-E1EB-456A-BEBE-EF697796FB60}"/>
                    </c:ext>
                  </c:extLst>
                </c:dPt>
                <c:dPt>
                  <c:idx val="51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6B-E1EB-456A-BEBE-EF697796FB60}"/>
                    </c:ext>
                  </c:extLst>
                </c:dPt>
                <c:dPt>
                  <c:idx val="51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6D-E1EB-456A-BEBE-EF697796FB60}"/>
                    </c:ext>
                  </c:extLst>
                </c:dPt>
                <c:dPt>
                  <c:idx val="51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6F-E1EB-456A-BEBE-EF697796FB60}"/>
                    </c:ext>
                  </c:extLst>
                </c:dPt>
                <c:dPt>
                  <c:idx val="51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71-E1EB-456A-BEBE-EF697796FB60}"/>
                    </c:ext>
                  </c:extLst>
                </c:dPt>
                <c:dPt>
                  <c:idx val="51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73-E1EB-456A-BEBE-EF697796FB60}"/>
                    </c:ext>
                  </c:extLst>
                </c:dPt>
                <c:dPt>
                  <c:idx val="51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75-E1EB-456A-BEBE-EF697796FB60}"/>
                    </c:ext>
                  </c:extLst>
                </c:dPt>
                <c:dPt>
                  <c:idx val="51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77-E1EB-456A-BEBE-EF697796FB60}"/>
                    </c:ext>
                  </c:extLst>
                </c:dPt>
                <c:dPt>
                  <c:idx val="52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79-E1EB-456A-BEBE-EF697796FB60}"/>
                    </c:ext>
                  </c:extLst>
                </c:dPt>
                <c:dPt>
                  <c:idx val="52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7B-E1EB-456A-BEBE-EF697796FB60}"/>
                    </c:ext>
                  </c:extLst>
                </c:dPt>
                <c:dPt>
                  <c:idx val="52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7D-E1EB-456A-BEBE-EF697796FB60}"/>
                    </c:ext>
                  </c:extLst>
                </c:dPt>
                <c:dPt>
                  <c:idx val="52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7F-E1EB-456A-BEBE-EF697796FB60}"/>
                    </c:ext>
                  </c:extLst>
                </c:dPt>
                <c:dPt>
                  <c:idx val="52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81-E1EB-456A-BEBE-EF697796FB60}"/>
                    </c:ext>
                  </c:extLst>
                </c:dPt>
                <c:dPt>
                  <c:idx val="52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83-E1EB-456A-BEBE-EF697796FB60}"/>
                    </c:ext>
                  </c:extLst>
                </c:dPt>
                <c:dPt>
                  <c:idx val="52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85-E1EB-456A-BEBE-EF697796FB60}"/>
                    </c:ext>
                  </c:extLst>
                </c:dPt>
                <c:dPt>
                  <c:idx val="52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87-E1EB-456A-BEBE-EF697796FB60}"/>
                    </c:ext>
                  </c:extLst>
                </c:dPt>
                <c:dPt>
                  <c:idx val="52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89-E1EB-456A-BEBE-EF697796FB60}"/>
                    </c:ext>
                  </c:extLst>
                </c:dPt>
                <c:dPt>
                  <c:idx val="52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8B-E1EB-456A-BEBE-EF697796FB60}"/>
                    </c:ext>
                  </c:extLst>
                </c:dPt>
                <c:dPt>
                  <c:idx val="53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8D-E1EB-456A-BEBE-EF697796FB60}"/>
                    </c:ext>
                  </c:extLst>
                </c:dPt>
                <c:dPt>
                  <c:idx val="53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8F-E1EB-456A-BEBE-EF697796FB60}"/>
                    </c:ext>
                  </c:extLst>
                </c:dPt>
                <c:dPt>
                  <c:idx val="53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91-E1EB-456A-BEBE-EF697796FB60}"/>
                    </c:ext>
                  </c:extLst>
                </c:dPt>
                <c:dPt>
                  <c:idx val="53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93-E1EB-456A-BEBE-EF697796FB60}"/>
                    </c:ext>
                  </c:extLst>
                </c:dPt>
                <c:dPt>
                  <c:idx val="53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95-E1EB-456A-BEBE-EF697796FB60}"/>
                    </c:ext>
                  </c:extLst>
                </c:dPt>
                <c:dPt>
                  <c:idx val="53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97-E1EB-456A-BEBE-EF697796FB60}"/>
                    </c:ext>
                  </c:extLst>
                </c:dPt>
                <c:dPt>
                  <c:idx val="53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99-E1EB-456A-BEBE-EF697796FB60}"/>
                    </c:ext>
                  </c:extLst>
                </c:dPt>
                <c:dPt>
                  <c:idx val="53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9B-E1EB-456A-BEBE-EF697796FB60}"/>
                    </c:ext>
                  </c:extLst>
                </c:dPt>
                <c:dPt>
                  <c:idx val="53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9D-E1EB-456A-BEBE-EF697796FB60}"/>
                    </c:ext>
                  </c:extLst>
                </c:dPt>
                <c:dPt>
                  <c:idx val="53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9F-E1EB-456A-BEBE-EF697796FB60}"/>
                    </c:ext>
                  </c:extLst>
                </c:dPt>
                <c:dPt>
                  <c:idx val="54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A1-E1EB-456A-BEBE-EF697796FB60}"/>
                    </c:ext>
                  </c:extLst>
                </c:dPt>
                <c:dPt>
                  <c:idx val="54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A3-E1EB-456A-BEBE-EF697796FB60}"/>
                    </c:ext>
                  </c:extLst>
                </c:dPt>
                <c:dPt>
                  <c:idx val="54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A5-E1EB-456A-BEBE-EF697796FB60}"/>
                    </c:ext>
                  </c:extLst>
                </c:dPt>
                <c:dPt>
                  <c:idx val="54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A7-E1EB-456A-BEBE-EF697796FB60}"/>
                    </c:ext>
                  </c:extLst>
                </c:dPt>
                <c:dPt>
                  <c:idx val="54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A9-E1EB-456A-BEBE-EF697796FB60}"/>
                    </c:ext>
                  </c:extLst>
                </c:dPt>
                <c:dPt>
                  <c:idx val="54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AB-E1EB-456A-BEBE-EF697796FB60}"/>
                    </c:ext>
                  </c:extLst>
                </c:dPt>
                <c:dPt>
                  <c:idx val="54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AD-E1EB-456A-BEBE-EF697796FB60}"/>
                    </c:ext>
                  </c:extLst>
                </c:dPt>
                <c:dPt>
                  <c:idx val="54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AF-E1EB-456A-BEBE-EF697796FB60}"/>
                    </c:ext>
                  </c:extLst>
                </c:dPt>
                <c:dPt>
                  <c:idx val="54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B1-E1EB-456A-BEBE-EF697796FB60}"/>
                    </c:ext>
                  </c:extLst>
                </c:dPt>
                <c:dPt>
                  <c:idx val="54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B3-E1EB-456A-BEBE-EF697796FB60}"/>
                    </c:ext>
                  </c:extLst>
                </c:dPt>
                <c:dPt>
                  <c:idx val="55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B5-E1EB-456A-BEBE-EF697796FB60}"/>
                    </c:ext>
                  </c:extLst>
                </c:dPt>
                <c:dPt>
                  <c:idx val="55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B7-E1EB-456A-BEBE-EF697796FB60}"/>
                    </c:ext>
                  </c:extLst>
                </c:dPt>
                <c:dPt>
                  <c:idx val="55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B9-E1EB-456A-BEBE-EF697796FB60}"/>
                    </c:ext>
                  </c:extLst>
                </c:dPt>
                <c:dPt>
                  <c:idx val="55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BB-E1EB-456A-BEBE-EF697796FB60}"/>
                    </c:ext>
                  </c:extLst>
                </c:dPt>
                <c:dPt>
                  <c:idx val="55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BD-E1EB-456A-BEBE-EF697796FB60}"/>
                    </c:ext>
                  </c:extLst>
                </c:dPt>
                <c:dPt>
                  <c:idx val="55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BF-E1EB-456A-BEBE-EF697796FB60}"/>
                    </c:ext>
                  </c:extLst>
                </c:dPt>
                <c:dPt>
                  <c:idx val="55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C1-E1EB-456A-BEBE-EF697796FB60}"/>
                    </c:ext>
                  </c:extLst>
                </c:dPt>
                <c:dPt>
                  <c:idx val="55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C3-E1EB-456A-BEBE-EF697796FB60}"/>
                    </c:ext>
                  </c:extLst>
                </c:dPt>
                <c:dPt>
                  <c:idx val="55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C5-E1EB-456A-BEBE-EF697796FB60}"/>
                    </c:ext>
                  </c:extLst>
                </c:dPt>
                <c:dPt>
                  <c:idx val="55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C7-E1EB-456A-BEBE-EF697796FB60}"/>
                    </c:ext>
                  </c:extLst>
                </c:dPt>
                <c:dPt>
                  <c:idx val="56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C9-E1EB-456A-BEBE-EF697796FB60}"/>
                    </c:ext>
                  </c:extLst>
                </c:dPt>
                <c:dPt>
                  <c:idx val="56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CB-E1EB-456A-BEBE-EF697796FB60}"/>
                    </c:ext>
                  </c:extLst>
                </c:dPt>
                <c:dPt>
                  <c:idx val="56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CD-E1EB-456A-BEBE-EF697796FB60}"/>
                    </c:ext>
                  </c:extLst>
                </c:dPt>
                <c:dPt>
                  <c:idx val="56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CF-E1EB-456A-BEBE-EF697796FB60}"/>
                    </c:ext>
                  </c:extLst>
                </c:dPt>
                <c:dPt>
                  <c:idx val="56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D1-E1EB-456A-BEBE-EF697796FB60}"/>
                    </c:ext>
                  </c:extLst>
                </c:dPt>
                <c:dPt>
                  <c:idx val="56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D3-E1EB-456A-BEBE-EF697796FB60}"/>
                    </c:ext>
                  </c:extLst>
                </c:dPt>
                <c:dPt>
                  <c:idx val="56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D5-E1EB-456A-BEBE-EF697796FB60}"/>
                    </c:ext>
                  </c:extLst>
                </c:dPt>
                <c:dPt>
                  <c:idx val="56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D7-E1EB-456A-BEBE-EF697796FB60}"/>
                    </c:ext>
                  </c:extLst>
                </c:dPt>
                <c:dPt>
                  <c:idx val="56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D9-E1EB-456A-BEBE-EF697796FB60}"/>
                    </c:ext>
                  </c:extLst>
                </c:dPt>
                <c:dPt>
                  <c:idx val="56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DB-E1EB-456A-BEBE-EF697796FB60}"/>
                    </c:ext>
                  </c:extLst>
                </c:dPt>
                <c:dPt>
                  <c:idx val="57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DD-E1EB-456A-BEBE-EF697796FB60}"/>
                    </c:ext>
                  </c:extLst>
                </c:dPt>
                <c:dPt>
                  <c:idx val="57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DF-E1EB-456A-BEBE-EF697796FB60}"/>
                    </c:ext>
                  </c:extLst>
                </c:dPt>
                <c:dPt>
                  <c:idx val="57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E1-E1EB-456A-BEBE-EF697796FB60}"/>
                    </c:ext>
                  </c:extLst>
                </c:dPt>
                <c:dPt>
                  <c:idx val="57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E3-E1EB-456A-BEBE-EF697796FB60}"/>
                    </c:ext>
                  </c:extLst>
                </c:dPt>
                <c:dPt>
                  <c:idx val="57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E5-E1EB-456A-BEBE-EF697796FB60}"/>
                    </c:ext>
                  </c:extLst>
                </c:dPt>
                <c:dPt>
                  <c:idx val="57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E7-E1EB-456A-BEBE-EF697796FB60}"/>
                    </c:ext>
                  </c:extLst>
                </c:dPt>
                <c:dPt>
                  <c:idx val="57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E9-E1EB-456A-BEBE-EF697796FB60}"/>
                    </c:ext>
                  </c:extLst>
                </c:dPt>
                <c:dPt>
                  <c:idx val="57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EB-E1EB-456A-BEBE-EF697796FB60}"/>
                    </c:ext>
                  </c:extLst>
                </c:dPt>
                <c:dPt>
                  <c:idx val="57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ED-E1EB-456A-BEBE-EF697796FB60}"/>
                    </c:ext>
                  </c:extLst>
                </c:dPt>
                <c:dPt>
                  <c:idx val="57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EF-E1EB-456A-BEBE-EF697796FB60}"/>
                    </c:ext>
                  </c:extLst>
                </c:dPt>
                <c:dPt>
                  <c:idx val="58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F1-E1EB-456A-BEBE-EF697796FB60}"/>
                    </c:ext>
                  </c:extLst>
                </c:dPt>
                <c:dPt>
                  <c:idx val="58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F3-E1EB-456A-BEBE-EF697796FB60}"/>
                    </c:ext>
                  </c:extLst>
                </c:dPt>
                <c:dPt>
                  <c:idx val="58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F5-E1EB-456A-BEBE-EF697796FB60}"/>
                    </c:ext>
                  </c:extLst>
                </c:dPt>
                <c:dPt>
                  <c:idx val="58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F7-E1EB-456A-BEBE-EF697796FB60}"/>
                    </c:ext>
                  </c:extLst>
                </c:dPt>
                <c:dPt>
                  <c:idx val="58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F9-E1EB-456A-BEBE-EF697796FB60}"/>
                    </c:ext>
                  </c:extLst>
                </c:dPt>
                <c:dPt>
                  <c:idx val="58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FB-E1EB-456A-BEBE-EF697796FB60}"/>
                    </c:ext>
                  </c:extLst>
                </c:dPt>
                <c:dPt>
                  <c:idx val="58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FD-E1EB-456A-BEBE-EF697796FB60}"/>
                    </c:ext>
                  </c:extLst>
                </c:dPt>
                <c:dPt>
                  <c:idx val="58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FF-E1EB-456A-BEBE-EF697796FB60}"/>
                    </c:ext>
                  </c:extLst>
                </c:dPt>
                <c:dPt>
                  <c:idx val="58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01-E1EB-456A-BEBE-EF697796FB60}"/>
                    </c:ext>
                  </c:extLst>
                </c:dPt>
                <c:dPt>
                  <c:idx val="58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03-E1EB-456A-BEBE-EF697796FB60}"/>
                    </c:ext>
                  </c:extLst>
                </c:dPt>
                <c:dPt>
                  <c:idx val="59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05-E1EB-456A-BEBE-EF697796FB60}"/>
                    </c:ext>
                  </c:extLst>
                </c:dPt>
                <c:dPt>
                  <c:idx val="59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07-E1EB-456A-BEBE-EF697796FB60}"/>
                    </c:ext>
                  </c:extLst>
                </c:dPt>
                <c:dPt>
                  <c:idx val="59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09-E1EB-456A-BEBE-EF697796FB60}"/>
                    </c:ext>
                  </c:extLst>
                </c:dPt>
                <c:dPt>
                  <c:idx val="59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0B-E1EB-456A-BEBE-EF697796FB60}"/>
                    </c:ext>
                  </c:extLst>
                </c:dPt>
                <c:dPt>
                  <c:idx val="59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0D-E1EB-456A-BEBE-EF697796FB60}"/>
                    </c:ext>
                  </c:extLst>
                </c:dPt>
                <c:dPt>
                  <c:idx val="59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0F-E1EB-456A-BEBE-EF697796FB60}"/>
                    </c:ext>
                  </c:extLst>
                </c:dPt>
                <c:dPt>
                  <c:idx val="59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11-E1EB-456A-BEBE-EF697796FB60}"/>
                    </c:ext>
                  </c:extLst>
                </c:dPt>
                <c:dPt>
                  <c:idx val="59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13-E1EB-456A-BEBE-EF697796FB60}"/>
                    </c:ext>
                  </c:extLst>
                </c:dPt>
                <c:dPt>
                  <c:idx val="59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15-E1EB-456A-BEBE-EF697796FB60}"/>
                    </c:ext>
                  </c:extLst>
                </c:dPt>
                <c:dPt>
                  <c:idx val="59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17-E1EB-456A-BEBE-EF697796FB60}"/>
                    </c:ext>
                  </c:extLst>
                </c:dPt>
                <c:dPt>
                  <c:idx val="60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19-E1EB-456A-BEBE-EF697796FB60}"/>
                    </c:ext>
                  </c:extLst>
                </c:dPt>
                <c:dPt>
                  <c:idx val="60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1B-E1EB-456A-BEBE-EF697796FB60}"/>
                    </c:ext>
                  </c:extLst>
                </c:dPt>
                <c:dPt>
                  <c:idx val="60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1D-E1EB-456A-BEBE-EF697796FB60}"/>
                    </c:ext>
                  </c:extLst>
                </c:dPt>
                <c:dPt>
                  <c:idx val="60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1F-E1EB-456A-BEBE-EF697796FB60}"/>
                    </c:ext>
                  </c:extLst>
                </c:dPt>
                <c:dPt>
                  <c:idx val="60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21-E1EB-456A-BEBE-EF697796FB60}"/>
                    </c:ext>
                  </c:extLst>
                </c:dPt>
                <c:dPt>
                  <c:idx val="60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23-E1EB-456A-BEBE-EF697796FB60}"/>
                    </c:ext>
                  </c:extLst>
                </c:dPt>
                <c:dPt>
                  <c:idx val="60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25-E1EB-456A-BEBE-EF697796FB60}"/>
                    </c:ext>
                  </c:extLst>
                </c:dPt>
                <c:dPt>
                  <c:idx val="60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27-E1EB-456A-BEBE-EF697796FB60}"/>
                    </c:ext>
                  </c:extLst>
                </c:dPt>
                <c:dPt>
                  <c:idx val="60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29-E1EB-456A-BEBE-EF697796FB60}"/>
                    </c:ext>
                  </c:extLst>
                </c:dPt>
                <c:dPt>
                  <c:idx val="60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2B-E1EB-456A-BEBE-EF697796FB60}"/>
                    </c:ext>
                  </c:extLst>
                </c:dPt>
                <c:dPt>
                  <c:idx val="61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2D-E1EB-456A-BEBE-EF697796FB60}"/>
                    </c:ext>
                  </c:extLst>
                </c:dPt>
                <c:dPt>
                  <c:idx val="61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2F-E1EB-456A-BEBE-EF697796FB60}"/>
                    </c:ext>
                  </c:extLst>
                </c:dPt>
                <c:dPt>
                  <c:idx val="61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31-E1EB-456A-BEBE-EF697796FB60}"/>
                    </c:ext>
                  </c:extLst>
                </c:dPt>
                <c:dPt>
                  <c:idx val="61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33-E1EB-456A-BEBE-EF697796FB60}"/>
                    </c:ext>
                  </c:extLst>
                </c:dPt>
                <c:dPt>
                  <c:idx val="61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35-E1EB-456A-BEBE-EF697796FB60}"/>
                    </c:ext>
                  </c:extLst>
                </c:dPt>
                <c:dPt>
                  <c:idx val="61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37-E1EB-456A-BEBE-EF697796FB60}"/>
                    </c:ext>
                  </c:extLst>
                </c:dPt>
                <c:dPt>
                  <c:idx val="61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39-E1EB-456A-BEBE-EF697796FB60}"/>
                    </c:ext>
                  </c:extLst>
                </c:dPt>
                <c:dPt>
                  <c:idx val="61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3B-E1EB-456A-BEBE-EF697796FB60}"/>
                    </c:ext>
                  </c:extLst>
                </c:dPt>
                <c:dPt>
                  <c:idx val="61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3D-E1EB-456A-BEBE-EF697796FB60}"/>
                    </c:ext>
                  </c:extLst>
                </c:dPt>
                <c:dPt>
                  <c:idx val="61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3F-E1EB-456A-BEBE-EF697796FB60}"/>
                    </c:ext>
                  </c:extLst>
                </c:dPt>
                <c:dPt>
                  <c:idx val="62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41-E1EB-456A-BEBE-EF697796FB60}"/>
                    </c:ext>
                  </c:extLst>
                </c:dPt>
                <c:dPt>
                  <c:idx val="62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43-E1EB-456A-BEBE-EF697796FB60}"/>
                    </c:ext>
                  </c:extLst>
                </c:dPt>
                <c:dPt>
                  <c:idx val="62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45-E1EB-456A-BEBE-EF697796FB60}"/>
                    </c:ext>
                  </c:extLst>
                </c:dPt>
                <c:dPt>
                  <c:idx val="62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47-E1EB-456A-BEBE-EF697796FB60}"/>
                    </c:ext>
                  </c:extLst>
                </c:dPt>
                <c:dPt>
                  <c:idx val="62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49-E1EB-456A-BEBE-EF697796FB60}"/>
                    </c:ext>
                  </c:extLst>
                </c:dPt>
                <c:dPt>
                  <c:idx val="62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4B-E1EB-456A-BEBE-EF697796FB60}"/>
                    </c:ext>
                  </c:extLst>
                </c:dPt>
                <c:dPt>
                  <c:idx val="626"/>
                  <c:bubble3D val="0"/>
                  <c:spPr>
                    <a:solidFill>
                      <a:srgbClr val="92D050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4D-E1EB-456A-BEBE-EF697796FB60}"/>
                    </c:ext>
                  </c:extLst>
                </c:dPt>
                <c:dPt>
                  <c:idx val="62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4F-E1EB-456A-BEBE-EF697796FB60}"/>
                    </c:ext>
                  </c:extLst>
                </c:dPt>
                <c:dPt>
                  <c:idx val="62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51-E1EB-456A-BEBE-EF697796FB60}"/>
                    </c:ext>
                  </c:extLst>
                </c:dPt>
                <c:dPt>
                  <c:idx val="62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53-E1EB-456A-BEBE-EF697796FB60}"/>
                    </c:ext>
                  </c:extLst>
                </c:dPt>
                <c:dPt>
                  <c:idx val="63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55-E1EB-456A-BEBE-EF697796FB60}"/>
                    </c:ext>
                  </c:extLst>
                </c:dPt>
                <c:dPt>
                  <c:idx val="63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57-E1EB-456A-BEBE-EF697796FB60}"/>
                    </c:ext>
                  </c:extLst>
                </c:dPt>
                <c:dPt>
                  <c:idx val="63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59-E1EB-456A-BEBE-EF697796FB60}"/>
                    </c:ext>
                  </c:extLst>
                </c:dPt>
                <c:dPt>
                  <c:idx val="63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5B-E1EB-456A-BEBE-EF697796FB60}"/>
                    </c:ext>
                  </c:extLst>
                </c:dPt>
                <c:dPt>
                  <c:idx val="63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5D-E1EB-456A-BEBE-EF697796FB60}"/>
                    </c:ext>
                  </c:extLst>
                </c:dPt>
                <c:dPt>
                  <c:idx val="63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5F-E1EB-456A-BEBE-EF697796FB60}"/>
                    </c:ext>
                  </c:extLst>
                </c:dPt>
                <c:dPt>
                  <c:idx val="63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61-E1EB-456A-BEBE-EF697796FB60}"/>
                    </c:ext>
                  </c:extLst>
                </c:dPt>
                <c:dPt>
                  <c:idx val="63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63-E1EB-456A-BEBE-EF697796FB60}"/>
                    </c:ext>
                  </c:extLst>
                </c:dPt>
                <c:dPt>
                  <c:idx val="63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65-E1EB-456A-BEBE-EF697796FB60}"/>
                    </c:ext>
                  </c:extLst>
                </c:dPt>
                <c:dPt>
                  <c:idx val="63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67-E1EB-456A-BEBE-EF697796FB60}"/>
                    </c:ext>
                  </c:extLst>
                </c:dPt>
                <c:dPt>
                  <c:idx val="64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69-E1EB-456A-BEBE-EF697796FB60}"/>
                    </c:ext>
                  </c:extLst>
                </c:dPt>
                <c:dPt>
                  <c:idx val="64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6B-E1EB-456A-BEBE-EF697796FB60}"/>
                    </c:ext>
                  </c:extLst>
                </c:dPt>
                <c:dPt>
                  <c:idx val="64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6D-E1EB-456A-BEBE-EF697796FB60}"/>
                    </c:ext>
                  </c:extLst>
                </c:dPt>
                <c:dPt>
                  <c:idx val="64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6F-E1EB-456A-BEBE-EF697796FB60}"/>
                    </c:ext>
                  </c:extLst>
                </c:dPt>
                <c:dPt>
                  <c:idx val="64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71-E1EB-456A-BEBE-EF697796FB60}"/>
                    </c:ext>
                  </c:extLst>
                </c:dPt>
                <c:dPt>
                  <c:idx val="64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73-E1EB-456A-BEBE-EF697796FB60}"/>
                    </c:ext>
                  </c:extLst>
                </c:dPt>
                <c:dPt>
                  <c:idx val="64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75-E1EB-456A-BEBE-EF697796FB60}"/>
                    </c:ext>
                  </c:extLst>
                </c:dPt>
                <c:dPt>
                  <c:idx val="64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77-E1EB-456A-BEBE-EF697796FB60}"/>
                    </c:ext>
                  </c:extLst>
                </c:dPt>
                <c:dPt>
                  <c:idx val="64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79-E1EB-456A-BEBE-EF697796FB60}"/>
                    </c:ext>
                  </c:extLst>
                </c:dPt>
                <c:dPt>
                  <c:idx val="64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7B-E1EB-456A-BEBE-EF697796FB60}"/>
                    </c:ext>
                  </c:extLst>
                </c:dPt>
                <c:dPt>
                  <c:idx val="65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7D-E1EB-456A-BEBE-EF697796FB60}"/>
                    </c:ext>
                  </c:extLst>
                </c:dPt>
                <c:dPt>
                  <c:idx val="65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7F-E1EB-456A-BEBE-EF697796FB60}"/>
                    </c:ext>
                  </c:extLst>
                </c:dPt>
                <c:dPt>
                  <c:idx val="65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81-E1EB-456A-BEBE-EF697796FB60}"/>
                    </c:ext>
                  </c:extLst>
                </c:dPt>
                <c:dPt>
                  <c:idx val="65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83-E1EB-456A-BEBE-EF697796FB60}"/>
                    </c:ext>
                  </c:extLst>
                </c:dPt>
                <c:dPt>
                  <c:idx val="65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85-E1EB-456A-BEBE-EF697796FB60}"/>
                    </c:ext>
                  </c:extLst>
                </c:dPt>
                <c:dPt>
                  <c:idx val="65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87-E1EB-456A-BEBE-EF697796FB60}"/>
                    </c:ext>
                  </c:extLst>
                </c:dPt>
                <c:dPt>
                  <c:idx val="65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89-E1EB-456A-BEBE-EF697796FB60}"/>
                    </c:ext>
                  </c:extLst>
                </c:dPt>
                <c:dPt>
                  <c:idx val="65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8B-E1EB-456A-BEBE-EF697796FB60}"/>
                    </c:ext>
                  </c:extLst>
                </c:dPt>
                <c:dPt>
                  <c:idx val="65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8D-E1EB-456A-BEBE-EF697796FB60}"/>
                    </c:ext>
                  </c:extLst>
                </c:dPt>
                <c:dPt>
                  <c:idx val="65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8F-E1EB-456A-BEBE-EF697796FB60}"/>
                    </c:ext>
                  </c:extLst>
                </c:dPt>
                <c:dPt>
                  <c:idx val="66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91-E1EB-456A-BEBE-EF697796FB60}"/>
                    </c:ext>
                  </c:extLst>
                </c:dPt>
                <c:dPt>
                  <c:idx val="66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93-E1EB-456A-BEBE-EF697796FB60}"/>
                    </c:ext>
                  </c:extLst>
                </c:dPt>
                <c:dPt>
                  <c:idx val="66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95-E1EB-456A-BEBE-EF697796FB60}"/>
                    </c:ext>
                  </c:extLst>
                </c:dPt>
                <c:dPt>
                  <c:idx val="66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97-E1EB-456A-BEBE-EF697796FB60}"/>
                    </c:ext>
                  </c:extLst>
                </c:dPt>
                <c:dPt>
                  <c:idx val="66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99-E1EB-456A-BEBE-EF697796FB60}"/>
                    </c:ext>
                  </c:extLst>
                </c:dPt>
                <c:dPt>
                  <c:idx val="66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9B-E1EB-456A-BEBE-EF697796FB60}"/>
                    </c:ext>
                  </c:extLst>
                </c:dPt>
                <c:dPt>
                  <c:idx val="66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9D-E1EB-456A-BEBE-EF697796FB60}"/>
                    </c:ext>
                  </c:extLst>
                </c:dPt>
                <c:dPt>
                  <c:idx val="66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9F-E1EB-456A-BEBE-EF697796FB60}"/>
                    </c:ext>
                  </c:extLst>
                </c:dPt>
                <c:dPt>
                  <c:idx val="66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A1-E1EB-456A-BEBE-EF697796FB60}"/>
                    </c:ext>
                  </c:extLst>
                </c:dPt>
                <c:dPt>
                  <c:idx val="66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A3-E1EB-456A-BEBE-EF697796FB60}"/>
                    </c:ext>
                  </c:extLst>
                </c:dPt>
                <c:dPt>
                  <c:idx val="67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A5-E1EB-456A-BEBE-EF697796FB60}"/>
                    </c:ext>
                  </c:extLst>
                </c:dPt>
                <c:dPt>
                  <c:idx val="67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A7-E1EB-456A-BEBE-EF697796FB60}"/>
                    </c:ext>
                  </c:extLst>
                </c:dPt>
                <c:dPt>
                  <c:idx val="67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A9-E1EB-456A-BEBE-EF697796FB60}"/>
                    </c:ext>
                  </c:extLst>
                </c:dPt>
                <c:dPt>
                  <c:idx val="67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AB-E1EB-456A-BEBE-EF697796FB60}"/>
                    </c:ext>
                  </c:extLst>
                </c:dPt>
                <c:dPt>
                  <c:idx val="67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AD-E1EB-456A-BEBE-EF697796FB60}"/>
                    </c:ext>
                  </c:extLst>
                </c:dPt>
                <c:dPt>
                  <c:idx val="67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AF-E1EB-456A-BEBE-EF697796FB60}"/>
                    </c:ext>
                  </c:extLst>
                </c:dPt>
                <c:dPt>
                  <c:idx val="67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B1-E1EB-456A-BEBE-EF697796FB60}"/>
                    </c:ext>
                  </c:extLst>
                </c:dPt>
                <c:dPt>
                  <c:idx val="67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B3-E1EB-456A-BEBE-EF697796FB60}"/>
                    </c:ext>
                  </c:extLst>
                </c:dPt>
                <c:dPt>
                  <c:idx val="67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B5-E1EB-456A-BEBE-EF697796FB60}"/>
                    </c:ext>
                  </c:extLst>
                </c:dPt>
                <c:dPt>
                  <c:idx val="67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B7-E1EB-456A-BEBE-EF697796FB60}"/>
                    </c:ext>
                  </c:extLst>
                </c:dPt>
                <c:dPt>
                  <c:idx val="68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B9-E1EB-456A-BEBE-EF697796FB60}"/>
                    </c:ext>
                  </c:extLst>
                </c:dPt>
                <c:dPt>
                  <c:idx val="68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BB-E1EB-456A-BEBE-EF697796FB60}"/>
                    </c:ext>
                  </c:extLst>
                </c:dPt>
                <c:dPt>
                  <c:idx val="68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BD-E1EB-456A-BEBE-EF697796FB60}"/>
                    </c:ext>
                  </c:extLst>
                </c:dPt>
                <c:dPt>
                  <c:idx val="68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BF-E1EB-456A-BEBE-EF697796FB60}"/>
                    </c:ext>
                  </c:extLst>
                </c:dPt>
                <c:dPt>
                  <c:idx val="68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C1-E1EB-456A-BEBE-EF697796FB60}"/>
                    </c:ext>
                  </c:extLst>
                </c:dPt>
                <c:dPt>
                  <c:idx val="68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C3-E1EB-456A-BEBE-EF697796FB60}"/>
                    </c:ext>
                  </c:extLst>
                </c:dPt>
                <c:dPt>
                  <c:idx val="68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C5-E1EB-456A-BEBE-EF697796FB60}"/>
                    </c:ext>
                  </c:extLst>
                </c:dPt>
                <c:dPt>
                  <c:idx val="68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C7-E1EB-456A-BEBE-EF697796FB60}"/>
                    </c:ext>
                  </c:extLst>
                </c:dPt>
                <c:dPt>
                  <c:idx val="68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C9-E1EB-456A-BEBE-EF697796FB60}"/>
                    </c:ext>
                  </c:extLst>
                </c:dPt>
                <c:dPt>
                  <c:idx val="68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CB-E1EB-456A-BEBE-EF697796FB60}"/>
                    </c:ext>
                  </c:extLst>
                </c:dPt>
                <c:dPt>
                  <c:idx val="69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CD-E1EB-456A-BEBE-EF697796FB60}"/>
                    </c:ext>
                  </c:extLst>
                </c:dPt>
                <c:dPt>
                  <c:idx val="69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CF-E1EB-456A-BEBE-EF697796FB60}"/>
                    </c:ext>
                  </c:extLst>
                </c:dPt>
                <c:dPt>
                  <c:idx val="69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D1-E1EB-456A-BEBE-EF697796FB60}"/>
                    </c:ext>
                  </c:extLst>
                </c:dPt>
                <c:dPt>
                  <c:idx val="69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D3-E1EB-456A-BEBE-EF697796FB60}"/>
                    </c:ext>
                  </c:extLst>
                </c:dPt>
                <c:dPt>
                  <c:idx val="69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D5-E1EB-456A-BEBE-EF697796FB60}"/>
                    </c:ext>
                  </c:extLst>
                </c:dPt>
                <c:dPt>
                  <c:idx val="69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D7-E1EB-456A-BEBE-EF697796FB60}"/>
                    </c:ext>
                  </c:extLst>
                </c:dPt>
                <c:dPt>
                  <c:idx val="69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D9-E1EB-456A-BEBE-EF697796FB60}"/>
                    </c:ext>
                  </c:extLst>
                </c:dPt>
                <c:dPt>
                  <c:idx val="69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DB-E1EB-456A-BEBE-EF697796FB60}"/>
                    </c:ext>
                  </c:extLst>
                </c:dPt>
                <c:dPt>
                  <c:idx val="69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DD-E1EB-456A-BEBE-EF697796FB60}"/>
                    </c:ext>
                  </c:extLst>
                </c:dPt>
                <c:dPt>
                  <c:idx val="69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DF-E1EB-456A-BEBE-EF697796FB60}"/>
                    </c:ext>
                  </c:extLst>
                </c:dPt>
                <c:dPt>
                  <c:idx val="70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E1-E1EB-456A-BEBE-EF697796FB60}"/>
                    </c:ext>
                  </c:extLst>
                </c:dPt>
                <c:dPt>
                  <c:idx val="70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E3-E1EB-456A-BEBE-EF697796FB60}"/>
                    </c:ext>
                  </c:extLst>
                </c:dPt>
                <c:dPt>
                  <c:idx val="70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E5-E1EB-456A-BEBE-EF697796FB60}"/>
                    </c:ext>
                  </c:extLst>
                </c:dPt>
                <c:dPt>
                  <c:idx val="70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E7-E1EB-456A-BEBE-EF697796FB60}"/>
                    </c:ext>
                  </c:extLst>
                </c:dPt>
                <c:dPt>
                  <c:idx val="70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E9-E1EB-456A-BEBE-EF697796FB60}"/>
                    </c:ext>
                  </c:extLst>
                </c:dPt>
                <c:dPt>
                  <c:idx val="70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EB-E1EB-456A-BEBE-EF697796FB60}"/>
                    </c:ext>
                  </c:extLst>
                </c:dPt>
                <c:dPt>
                  <c:idx val="70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ED-E1EB-456A-BEBE-EF697796FB60}"/>
                    </c:ext>
                  </c:extLst>
                </c:dPt>
                <c:dPt>
                  <c:idx val="70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EF-E1EB-456A-BEBE-EF697796FB60}"/>
                    </c:ext>
                  </c:extLst>
                </c:dPt>
                <c:dPt>
                  <c:idx val="70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F1-E1EB-456A-BEBE-EF697796FB60}"/>
                    </c:ext>
                  </c:extLst>
                </c:dPt>
                <c:dPt>
                  <c:idx val="70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F3-E1EB-456A-BEBE-EF697796FB60}"/>
                    </c:ext>
                  </c:extLst>
                </c:dPt>
                <c:dPt>
                  <c:idx val="71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F5-E1EB-456A-BEBE-EF697796FB60}"/>
                    </c:ext>
                  </c:extLst>
                </c:dPt>
                <c:dPt>
                  <c:idx val="71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F7-E1EB-456A-BEBE-EF697796FB60}"/>
                    </c:ext>
                  </c:extLst>
                </c:dPt>
                <c:dPt>
                  <c:idx val="71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F9-E1EB-456A-BEBE-EF697796FB60}"/>
                    </c:ext>
                  </c:extLst>
                </c:dPt>
                <c:dPt>
                  <c:idx val="71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FB-E1EB-456A-BEBE-EF697796FB60}"/>
                    </c:ext>
                  </c:extLst>
                </c:dPt>
                <c:dPt>
                  <c:idx val="71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FD-E1EB-456A-BEBE-EF697796FB60}"/>
                    </c:ext>
                  </c:extLst>
                </c:dPt>
                <c:dPt>
                  <c:idx val="71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FF-E1EB-456A-BEBE-EF697796FB60}"/>
                    </c:ext>
                  </c:extLst>
                </c:dPt>
                <c:dPt>
                  <c:idx val="71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01-E1EB-456A-BEBE-EF697796FB60}"/>
                    </c:ext>
                  </c:extLst>
                </c:dPt>
                <c:dPt>
                  <c:idx val="71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03-E1EB-456A-BEBE-EF697796FB60}"/>
                    </c:ext>
                  </c:extLst>
                </c:dPt>
                <c:dPt>
                  <c:idx val="71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05-E1EB-456A-BEBE-EF697796FB60}"/>
                    </c:ext>
                  </c:extLst>
                </c:dPt>
                <c:dPt>
                  <c:idx val="71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07-E1EB-456A-BEBE-EF697796FB60}"/>
                    </c:ext>
                  </c:extLst>
                </c:dPt>
                <c:dPt>
                  <c:idx val="72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09-E1EB-456A-BEBE-EF697796FB60}"/>
                    </c:ext>
                  </c:extLst>
                </c:dPt>
                <c:dPt>
                  <c:idx val="721"/>
                  <c:bubble3D val="0"/>
                  <c:spPr>
                    <a:solidFill>
                      <a:srgbClr val="08E61D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0B-E1EB-456A-BEBE-EF697796FB60}"/>
                    </c:ext>
                  </c:extLst>
                </c:dPt>
                <c:dPt>
                  <c:idx val="72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0D-E1EB-456A-BEBE-EF697796FB60}"/>
                    </c:ext>
                  </c:extLst>
                </c:dPt>
                <c:dPt>
                  <c:idx val="72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0F-E1EB-456A-BEBE-EF697796FB60}"/>
                    </c:ext>
                  </c:extLst>
                </c:dPt>
                <c:dPt>
                  <c:idx val="72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11-E1EB-456A-BEBE-EF697796FB60}"/>
                    </c:ext>
                  </c:extLst>
                </c:dPt>
                <c:dPt>
                  <c:idx val="725"/>
                  <c:bubble3D val="0"/>
                  <c:spPr>
                    <a:solidFill>
                      <a:schemeClr val="accent4">
                        <a:lumMod val="40000"/>
                        <a:lumOff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13-E1EB-456A-BEBE-EF697796FB60}"/>
                    </c:ext>
                  </c:extLst>
                </c:dPt>
                <c:dPt>
                  <c:idx val="72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15-E1EB-456A-BEBE-EF697796FB60}"/>
                    </c:ext>
                  </c:extLst>
                </c:dPt>
                <c:dPt>
                  <c:idx val="72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17-E1EB-456A-BEBE-EF697796FB60}"/>
                    </c:ext>
                  </c:extLst>
                </c:dPt>
                <c:dPt>
                  <c:idx val="72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19-E1EB-456A-BEBE-EF697796FB60}"/>
                    </c:ext>
                  </c:extLst>
                </c:dPt>
                <c:dPt>
                  <c:idx val="72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1B-E1EB-456A-BEBE-EF697796FB60}"/>
                    </c:ext>
                  </c:extLst>
                </c:dPt>
                <c:dPt>
                  <c:idx val="73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1D-E1EB-456A-BEBE-EF697796FB60}"/>
                    </c:ext>
                  </c:extLst>
                </c:dPt>
                <c:dPt>
                  <c:idx val="73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1F-E1EB-456A-BEBE-EF697796FB60}"/>
                    </c:ext>
                  </c:extLst>
                </c:dPt>
                <c:dPt>
                  <c:idx val="73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21-E1EB-456A-BEBE-EF697796FB60}"/>
                    </c:ext>
                  </c:extLst>
                </c:dPt>
                <c:dPt>
                  <c:idx val="73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23-E1EB-456A-BEBE-EF697796FB60}"/>
                    </c:ext>
                  </c:extLst>
                </c:dPt>
                <c:dPt>
                  <c:idx val="73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25-E1EB-456A-BEBE-EF697796FB60}"/>
                    </c:ext>
                  </c:extLst>
                </c:dPt>
                <c:dPt>
                  <c:idx val="735"/>
                  <c:bubble3D val="0"/>
                  <c:spPr>
                    <a:solidFill>
                      <a:srgbClr val="FF006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27-E1EB-456A-BEBE-EF697796FB60}"/>
                    </c:ext>
                  </c:extLst>
                </c:dPt>
                <c:dPt>
                  <c:idx val="73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29-E1EB-456A-BEBE-EF697796FB60}"/>
                    </c:ext>
                  </c:extLst>
                </c:dPt>
                <c:dPt>
                  <c:idx val="73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2B-E1EB-456A-BEBE-EF697796FB60}"/>
                    </c:ext>
                  </c:extLst>
                </c:dPt>
                <c:dPt>
                  <c:idx val="73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2D-E1EB-456A-BEBE-EF697796FB60}"/>
                    </c:ext>
                  </c:extLst>
                </c:dPt>
                <c:dPt>
                  <c:idx val="73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2F-E1EB-456A-BEBE-EF697796FB60}"/>
                    </c:ext>
                  </c:extLst>
                </c:dPt>
                <c:dPt>
                  <c:idx val="74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31-E1EB-456A-BEBE-EF697796FB60}"/>
                    </c:ext>
                  </c:extLst>
                </c:dPt>
                <c:dPt>
                  <c:idx val="74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33-E1EB-456A-BEBE-EF697796FB60}"/>
                    </c:ext>
                  </c:extLst>
                </c:dPt>
                <c:dPt>
                  <c:idx val="74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35-E1EB-456A-BEBE-EF697796FB60}"/>
                    </c:ext>
                  </c:extLst>
                </c:dPt>
                <c:dPt>
                  <c:idx val="743"/>
                  <c:bubble3D val="0"/>
                  <c:spPr>
                    <a:solidFill>
                      <a:srgbClr val="FFFF00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37-E1EB-456A-BEBE-EF697796FB60}"/>
                    </c:ext>
                  </c:extLst>
                </c:dPt>
                <c:dPt>
                  <c:idx val="74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39-E1EB-456A-BEBE-EF697796FB60}"/>
                    </c:ext>
                  </c:extLst>
                </c:dPt>
                <c:dPt>
                  <c:idx val="74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3B-E1EB-456A-BEBE-EF697796FB60}"/>
                    </c:ext>
                  </c:extLst>
                </c:dPt>
                <c:dPt>
                  <c:idx val="74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3D-E1EB-456A-BEBE-EF697796FB60}"/>
                    </c:ext>
                  </c:extLst>
                </c:dPt>
                <c:dPt>
                  <c:idx val="74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3F-E1EB-456A-BEBE-EF697796FB60}"/>
                    </c:ext>
                  </c:extLst>
                </c:dPt>
                <c:dPt>
                  <c:idx val="74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41-E1EB-456A-BEBE-EF697796FB60}"/>
                    </c:ext>
                  </c:extLst>
                </c:dPt>
                <c:dPt>
                  <c:idx val="74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43-E1EB-456A-BEBE-EF697796FB60}"/>
                    </c:ext>
                  </c:extLst>
                </c:dPt>
                <c:dPt>
                  <c:idx val="75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45-E1EB-456A-BEBE-EF697796FB60}"/>
                    </c:ext>
                  </c:extLst>
                </c:dPt>
                <c:dPt>
                  <c:idx val="75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47-E1EB-456A-BEBE-EF697796FB60}"/>
                    </c:ext>
                  </c:extLst>
                </c:dPt>
                <c:dPt>
                  <c:idx val="75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49-E1EB-456A-BEBE-EF697796FB60}"/>
                    </c:ext>
                  </c:extLst>
                </c:dPt>
                <c:dPt>
                  <c:idx val="75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4B-E1EB-456A-BEBE-EF697796FB60}"/>
                    </c:ext>
                  </c:extLst>
                </c:dPt>
                <c:dPt>
                  <c:idx val="75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4D-E1EB-456A-BEBE-EF697796FB60}"/>
                    </c:ext>
                  </c:extLst>
                </c:dPt>
                <c:dPt>
                  <c:idx val="75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4F-E1EB-456A-BEBE-EF697796FB60}"/>
                    </c:ext>
                  </c:extLst>
                </c:dPt>
                <c:dPt>
                  <c:idx val="75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51-E1EB-456A-BEBE-EF697796FB60}"/>
                    </c:ext>
                  </c:extLst>
                </c:dPt>
                <c:dPt>
                  <c:idx val="75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53-E1EB-456A-BEBE-EF697796FB60}"/>
                    </c:ext>
                  </c:extLst>
                </c:dPt>
                <c:dPt>
                  <c:idx val="75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55-E1EB-456A-BEBE-EF697796FB60}"/>
                    </c:ext>
                  </c:extLst>
                </c:dPt>
                <c:dPt>
                  <c:idx val="75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57-E1EB-456A-BEBE-EF697796FB60}"/>
                    </c:ext>
                  </c:extLst>
                </c:dPt>
                <c:dPt>
                  <c:idx val="76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59-E1EB-456A-BEBE-EF697796FB60}"/>
                    </c:ext>
                  </c:extLst>
                </c:dPt>
                <c:dPt>
                  <c:idx val="76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5B-E1EB-456A-BEBE-EF697796FB60}"/>
                    </c:ext>
                  </c:extLst>
                </c:dPt>
                <c:dPt>
                  <c:idx val="76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5D-E1EB-456A-BEBE-EF697796FB60}"/>
                    </c:ext>
                  </c:extLst>
                </c:dPt>
                <c:dPt>
                  <c:idx val="76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5F-E1EB-456A-BEBE-EF697796FB60}"/>
                    </c:ext>
                  </c:extLst>
                </c:dPt>
                <c:dPt>
                  <c:idx val="76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61-E1EB-456A-BEBE-EF697796FB60}"/>
                    </c:ext>
                  </c:extLst>
                </c:dPt>
                <c:dPt>
                  <c:idx val="76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63-E1EB-456A-BEBE-EF697796FB60}"/>
                    </c:ext>
                  </c:extLst>
                </c:dPt>
                <c:dPt>
                  <c:idx val="76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65-E1EB-456A-BEBE-EF697796FB60}"/>
                    </c:ext>
                  </c:extLst>
                </c:dPt>
                <c:dPt>
                  <c:idx val="76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67-E1EB-456A-BEBE-EF697796FB60}"/>
                    </c:ext>
                  </c:extLst>
                </c:dPt>
                <c:dPt>
                  <c:idx val="76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69-E1EB-456A-BEBE-EF697796FB60}"/>
                    </c:ext>
                  </c:extLst>
                </c:dPt>
                <c:dPt>
                  <c:idx val="76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6B-E1EB-456A-BEBE-EF697796FB60}"/>
                    </c:ext>
                  </c:extLst>
                </c:dPt>
                <c:dPt>
                  <c:idx val="77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6D-E1EB-456A-BEBE-EF697796FB60}"/>
                    </c:ext>
                  </c:extLst>
                </c:dPt>
                <c:dPt>
                  <c:idx val="77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6F-E1EB-456A-BEBE-EF697796FB60}"/>
                    </c:ext>
                  </c:extLst>
                </c:dPt>
                <c:dPt>
                  <c:idx val="77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71-E1EB-456A-BEBE-EF697796FB60}"/>
                    </c:ext>
                  </c:extLst>
                </c:dPt>
                <c:dPt>
                  <c:idx val="77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73-E1EB-456A-BEBE-EF697796FB60}"/>
                    </c:ext>
                  </c:extLst>
                </c:dPt>
                <c:dPt>
                  <c:idx val="77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75-E1EB-456A-BEBE-EF697796FB60}"/>
                    </c:ext>
                  </c:extLst>
                </c:dPt>
                <c:dPt>
                  <c:idx val="77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77-E1EB-456A-BEBE-EF697796FB60}"/>
                    </c:ext>
                  </c:extLst>
                </c:dPt>
                <c:dPt>
                  <c:idx val="77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79-E1EB-456A-BEBE-EF697796FB60}"/>
                    </c:ext>
                  </c:extLst>
                </c:dPt>
                <c:dPt>
                  <c:idx val="77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7B-E1EB-456A-BEBE-EF697796FB60}"/>
                    </c:ext>
                  </c:extLst>
                </c:dPt>
                <c:dPt>
                  <c:idx val="77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7D-E1EB-456A-BEBE-EF697796FB60}"/>
                    </c:ext>
                  </c:extLst>
                </c:dPt>
                <c:dPt>
                  <c:idx val="77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7F-E1EB-456A-BEBE-EF697796FB60}"/>
                    </c:ext>
                  </c:extLst>
                </c:dPt>
                <c:dPt>
                  <c:idx val="78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81-E1EB-456A-BEBE-EF697796FB60}"/>
                    </c:ext>
                  </c:extLst>
                </c:dPt>
                <c:dPt>
                  <c:idx val="78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83-E1EB-456A-BEBE-EF697796FB60}"/>
                    </c:ext>
                  </c:extLst>
                </c:dPt>
                <c:dPt>
                  <c:idx val="78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85-E1EB-456A-BEBE-EF697796FB60}"/>
                    </c:ext>
                  </c:extLst>
                </c:dPt>
                <c:dPt>
                  <c:idx val="78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87-E1EB-456A-BEBE-EF697796FB60}"/>
                    </c:ext>
                  </c:extLst>
                </c:dPt>
                <c:dPt>
                  <c:idx val="78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89-E1EB-456A-BEBE-EF697796FB60}"/>
                    </c:ext>
                  </c:extLst>
                </c:dPt>
                <c:dPt>
                  <c:idx val="78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8B-E1EB-456A-BEBE-EF697796FB60}"/>
                    </c:ext>
                  </c:extLst>
                </c:dPt>
                <c:dPt>
                  <c:idx val="78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8D-E1EB-456A-BEBE-EF697796FB60}"/>
                    </c:ext>
                  </c:extLst>
                </c:dPt>
                <c:dPt>
                  <c:idx val="78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8F-E1EB-456A-BEBE-EF697796FB60}"/>
                    </c:ext>
                  </c:extLst>
                </c:dPt>
                <c:dPt>
                  <c:idx val="78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91-E1EB-456A-BEBE-EF697796FB60}"/>
                    </c:ext>
                  </c:extLst>
                </c:dPt>
                <c:dPt>
                  <c:idx val="78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93-E1EB-456A-BEBE-EF697796FB60}"/>
                    </c:ext>
                  </c:extLst>
                </c:dPt>
                <c:dPt>
                  <c:idx val="79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95-E1EB-456A-BEBE-EF697796FB60}"/>
                    </c:ext>
                  </c:extLst>
                </c:dPt>
                <c:dPt>
                  <c:idx val="79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97-E1EB-456A-BEBE-EF697796FB60}"/>
                    </c:ext>
                  </c:extLst>
                </c:dPt>
                <c:dPt>
                  <c:idx val="79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99-E1EB-456A-BEBE-EF697796FB60}"/>
                    </c:ext>
                  </c:extLst>
                </c:dPt>
                <c:dPt>
                  <c:idx val="79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9B-E1EB-456A-BEBE-EF697796FB60}"/>
                    </c:ext>
                  </c:extLst>
                </c:dPt>
                <c:dPt>
                  <c:idx val="79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9D-E1EB-456A-BEBE-EF697796FB60}"/>
                    </c:ext>
                  </c:extLst>
                </c:dPt>
                <c:dPt>
                  <c:idx val="79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9F-E1EB-456A-BEBE-EF697796FB60}"/>
                    </c:ext>
                  </c:extLst>
                </c:dPt>
                <c:dPt>
                  <c:idx val="79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A1-E1EB-456A-BEBE-EF697796FB60}"/>
                    </c:ext>
                  </c:extLst>
                </c:dPt>
                <c:dPt>
                  <c:idx val="79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A3-E1EB-456A-BEBE-EF697796FB60}"/>
                    </c:ext>
                  </c:extLst>
                </c:dPt>
                <c:dPt>
                  <c:idx val="79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A5-E1EB-456A-BEBE-EF697796FB60}"/>
                    </c:ext>
                  </c:extLst>
                </c:dPt>
                <c:dPt>
                  <c:idx val="79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A7-E1EB-456A-BEBE-EF697796FB60}"/>
                    </c:ext>
                  </c:extLst>
                </c:dPt>
                <c:dPt>
                  <c:idx val="80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A9-E1EB-456A-BEBE-EF697796FB60}"/>
                    </c:ext>
                  </c:extLst>
                </c:dPt>
                <c:dPt>
                  <c:idx val="80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AB-E1EB-456A-BEBE-EF697796FB60}"/>
                    </c:ext>
                  </c:extLst>
                </c:dPt>
                <c:dPt>
                  <c:idx val="80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AD-E1EB-456A-BEBE-EF697796FB60}"/>
                    </c:ext>
                  </c:extLst>
                </c:dPt>
                <c:dPt>
                  <c:idx val="80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AF-E1EB-456A-BEBE-EF697796FB60}"/>
                    </c:ext>
                  </c:extLst>
                </c:dPt>
                <c:dPt>
                  <c:idx val="80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B1-E1EB-456A-BEBE-EF697796FB60}"/>
                    </c:ext>
                  </c:extLst>
                </c:dPt>
                <c:dPt>
                  <c:idx val="80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B3-E1EB-456A-BEBE-EF697796FB60}"/>
                    </c:ext>
                  </c:extLst>
                </c:dPt>
                <c:dPt>
                  <c:idx val="80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B5-E1EB-456A-BEBE-EF697796FB60}"/>
                    </c:ext>
                  </c:extLst>
                </c:dPt>
                <c:dPt>
                  <c:idx val="80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B7-E1EB-456A-BEBE-EF697796FB60}"/>
                    </c:ext>
                  </c:extLst>
                </c:dPt>
                <c:dPt>
                  <c:idx val="80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B9-E1EB-456A-BEBE-EF697796FB60}"/>
                    </c:ext>
                  </c:extLst>
                </c:dPt>
                <c:dPt>
                  <c:idx val="80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BB-E1EB-456A-BEBE-EF697796FB60}"/>
                    </c:ext>
                  </c:extLst>
                </c:dPt>
                <c:dPt>
                  <c:idx val="81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BD-E1EB-456A-BEBE-EF697796FB60}"/>
                    </c:ext>
                  </c:extLst>
                </c:dPt>
                <c:dPt>
                  <c:idx val="81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BF-E1EB-456A-BEBE-EF697796FB60}"/>
                    </c:ext>
                  </c:extLst>
                </c:dPt>
                <c:dPt>
                  <c:idx val="81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C1-E1EB-456A-BEBE-EF697796FB60}"/>
                    </c:ext>
                  </c:extLst>
                </c:dPt>
                <c:dPt>
                  <c:idx val="81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C3-E1EB-456A-BEBE-EF697796FB60}"/>
                    </c:ext>
                  </c:extLst>
                </c:dPt>
                <c:dPt>
                  <c:idx val="81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C5-E1EB-456A-BEBE-EF697796FB60}"/>
                    </c:ext>
                  </c:extLst>
                </c:dPt>
                <c:dPt>
                  <c:idx val="81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C7-E1EB-456A-BEBE-EF697796FB60}"/>
                    </c:ext>
                  </c:extLst>
                </c:dPt>
                <c:dPt>
                  <c:idx val="81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C9-E1EB-456A-BEBE-EF697796FB60}"/>
                    </c:ext>
                  </c:extLst>
                </c:dPt>
                <c:dPt>
                  <c:idx val="81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CB-E1EB-456A-BEBE-EF697796FB60}"/>
                    </c:ext>
                  </c:extLst>
                </c:dPt>
                <c:dPt>
                  <c:idx val="81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CD-E1EB-456A-BEBE-EF697796FB60}"/>
                    </c:ext>
                  </c:extLst>
                </c:dPt>
                <c:dPt>
                  <c:idx val="81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CF-E1EB-456A-BEBE-EF697796FB60}"/>
                    </c:ext>
                  </c:extLst>
                </c:dPt>
                <c:dPt>
                  <c:idx val="82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D1-E1EB-456A-BEBE-EF697796FB60}"/>
                    </c:ext>
                  </c:extLst>
                </c:dPt>
                <c:dPt>
                  <c:idx val="82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D3-E1EB-456A-BEBE-EF697796FB60}"/>
                    </c:ext>
                  </c:extLst>
                </c:dPt>
                <c:dPt>
                  <c:idx val="82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D5-E1EB-456A-BEBE-EF697796FB60}"/>
                    </c:ext>
                  </c:extLst>
                </c:dPt>
                <c:dPt>
                  <c:idx val="82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D7-E1EB-456A-BEBE-EF697796FB60}"/>
                    </c:ext>
                  </c:extLst>
                </c:dPt>
                <c:dPt>
                  <c:idx val="82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D9-E1EB-456A-BEBE-EF697796FB60}"/>
                    </c:ext>
                  </c:extLst>
                </c:dPt>
                <c:dPt>
                  <c:idx val="82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DB-E1EB-456A-BEBE-EF697796FB60}"/>
                    </c:ext>
                  </c:extLst>
                </c:dPt>
                <c:dPt>
                  <c:idx val="82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DD-E1EB-456A-BEBE-EF697796FB60}"/>
                    </c:ext>
                  </c:extLst>
                </c:dPt>
                <c:dPt>
                  <c:idx val="82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DF-E1EB-456A-BEBE-EF697796FB60}"/>
                    </c:ext>
                  </c:extLst>
                </c:dPt>
                <c:dPt>
                  <c:idx val="82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E1-E1EB-456A-BEBE-EF697796FB60}"/>
                    </c:ext>
                  </c:extLst>
                </c:dPt>
                <c:dPt>
                  <c:idx val="82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E3-E1EB-456A-BEBE-EF697796FB60}"/>
                    </c:ext>
                  </c:extLst>
                </c:dPt>
                <c:dPt>
                  <c:idx val="83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E5-E1EB-456A-BEBE-EF697796FB60}"/>
                    </c:ext>
                  </c:extLst>
                </c:dPt>
                <c:dPt>
                  <c:idx val="83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E7-E1EB-456A-BEBE-EF697796FB60}"/>
                    </c:ext>
                  </c:extLst>
                </c:dPt>
                <c:dPt>
                  <c:idx val="83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E9-E1EB-456A-BEBE-EF697796FB60}"/>
                    </c:ext>
                  </c:extLst>
                </c:dPt>
                <c:dPt>
                  <c:idx val="83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EB-E1EB-456A-BEBE-EF697796FB60}"/>
                    </c:ext>
                  </c:extLst>
                </c:dPt>
                <c:dPt>
                  <c:idx val="83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ED-E1EB-456A-BEBE-EF697796FB60}"/>
                    </c:ext>
                  </c:extLst>
                </c:dPt>
                <c:dPt>
                  <c:idx val="83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EF-E1EB-456A-BEBE-EF697796FB60}"/>
                    </c:ext>
                  </c:extLst>
                </c:dPt>
                <c:dPt>
                  <c:idx val="83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F1-E1EB-456A-BEBE-EF697796FB60}"/>
                    </c:ext>
                  </c:extLst>
                </c:dPt>
                <c:dPt>
                  <c:idx val="83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F3-E1EB-456A-BEBE-EF697796FB60}"/>
                    </c:ext>
                  </c:extLst>
                </c:dPt>
                <c:dPt>
                  <c:idx val="83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F5-E1EB-456A-BEBE-EF697796FB60}"/>
                    </c:ext>
                  </c:extLst>
                </c:dPt>
                <c:dPt>
                  <c:idx val="83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F7-E1EB-456A-BEBE-EF697796FB60}"/>
                    </c:ext>
                  </c:extLst>
                </c:dPt>
                <c:dPt>
                  <c:idx val="84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F9-E1EB-456A-BEBE-EF697796FB60}"/>
                    </c:ext>
                  </c:extLst>
                </c:dPt>
                <c:dPt>
                  <c:idx val="84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FB-E1EB-456A-BEBE-EF697796FB60}"/>
                    </c:ext>
                  </c:extLst>
                </c:dPt>
                <c:dPt>
                  <c:idx val="84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FD-E1EB-456A-BEBE-EF697796FB60}"/>
                    </c:ext>
                  </c:extLst>
                </c:dPt>
                <c:dPt>
                  <c:idx val="843"/>
                  <c:bubble3D val="0"/>
                  <c:spPr>
                    <a:solidFill>
                      <a:schemeClr val="accent6">
                        <a:lumMod val="75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FF-E1EB-456A-BEBE-EF697796FB60}"/>
                    </c:ext>
                  </c:extLst>
                </c:dPt>
                <c:dPt>
                  <c:idx val="84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201-E1EB-456A-BEBE-EF697796FB60}"/>
                    </c:ext>
                  </c:extLst>
                </c:dPt>
                <c:dPt>
                  <c:idx val="84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203-E1EB-456A-BEBE-EF697796FB60}"/>
                    </c:ext>
                  </c:extLst>
                </c:dPt>
                <c:dPt>
                  <c:idx val="84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205-E1EB-456A-BEBE-EF697796FB60}"/>
                    </c:ext>
                  </c:extLst>
                </c:dPt>
                <c:dPt>
                  <c:idx val="84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207-E1EB-456A-BEBE-EF697796FB60}"/>
                    </c:ext>
                  </c:extLst>
                </c:dPt>
                <c:dPt>
                  <c:idx val="848"/>
                  <c:bubble3D val="0"/>
                  <c:spPr>
                    <a:solidFill>
                      <a:srgbClr val="00B0F0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209-E1EB-456A-BEBE-EF697796FB60}"/>
                    </c:ext>
                  </c:extLst>
                </c:dPt>
                <c:dPt>
                  <c:idx val="84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20B-E1EB-456A-BEBE-EF697796FB60}"/>
                    </c:ext>
                  </c:extLst>
                </c:dPt>
                <c:dPt>
                  <c:idx val="85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20D-E1EB-456A-BEBE-EF697796FB60}"/>
                    </c:ext>
                  </c:extLst>
                </c:dPt>
                <c:dPt>
                  <c:idx val="851"/>
                  <c:bubble3D val="0"/>
                  <c:spPr>
                    <a:solidFill>
                      <a:schemeClr val="bg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20F-E1EB-456A-BEBE-EF697796FB60}"/>
                    </c:ext>
                  </c:extLst>
                </c:dPt>
                <c:dPt>
                  <c:idx val="85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211-E1EB-456A-BEBE-EF697796FB60}"/>
                    </c:ext>
                  </c:extLst>
                </c:dPt>
                <c:dPt>
                  <c:idx val="853"/>
                  <c:bubble3D val="0"/>
                  <c:spPr>
                    <a:solidFill>
                      <a:srgbClr val="FFFF00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213-E1EB-456A-BEBE-EF697796FB60}"/>
                    </c:ext>
                  </c:extLst>
                </c:dPt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 cap="flat" cmpd="sng" algn="ctr">
                        <a:solidFill>
                          <a:schemeClr val="tx1">
                            <a:lumMod val="35000"/>
                            <a:lumOff val="65000"/>
                          </a:schemeClr>
                        </a:solidFill>
                        <a:round/>
                      </a:ln>
                      <a:effectLst/>
                    </c:spPr>
                  </c:leaderLines>
                  <c:extLst xmlns:c15="http://schemas.microsoft.com/office/drawing/2012/chart">
                    <c:ext xmlns:c15="http://schemas.microsoft.com/office/drawing/2012/chart" uri="{CE6537A1-D6FC-4f65-9D91-7224C49458BB}"/>
                  </c:extLst>
                </c:dLbls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('Données '!$C$199,'Données '!$E$199,'Données '!$G$199,'Données '!$I$199,'Données '!$K$199,'Données '!$M$199,'Données '!$O$199)</c15:sqref>
                        </c15:formulaRef>
                      </c:ext>
                    </c:extLst>
                    <c:strCache>
                      <c:ptCount val="7"/>
                      <c:pt idx="0">
                        <c:v>ESQ ==&gt; APD</c:v>
                      </c:pt>
                      <c:pt idx="1">
                        <c:v>Fin études/AO</c:v>
                      </c:pt>
                      <c:pt idx="2">
                        <c:v>OS</c:v>
                      </c:pt>
                      <c:pt idx="3">
                        <c:v>Travaux</c:v>
                      </c:pt>
                      <c:pt idx="4">
                        <c:v>GPA</c:v>
                      </c:pt>
                      <c:pt idx="5">
                        <c:v>Clôture défisc</c:v>
                      </c:pt>
                      <c:pt idx="6">
                        <c:v>STOP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'Données initiales'!#REF!</c15:sqref>
                        </c15:formulaRef>
                      </c:ext>
                    </c:extLst>
                    <c:numCache>
                      <c:formatCode>General</c:formatCode>
                      <c:ptCount val="1"/>
                      <c:pt idx="0">
                        <c:v>1</c:v>
                      </c:pt>
                    </c:numCache>
                  </c:numRef>
                </c:val>
                <c:extLst xmlns:c15="http://schemas.microsoft.com/office/drawing/2012/chart">
                  <c:ext xmlns:c16="http://schemas.microsoft.com/office/drawing/2014/chart" uri="{C3380CC4-5D6E-409C-BE32-E72D297353CC}">
                    <c16:uniqueId val="{00000142-DB9F-452A-82DA-49E825A71C5F}"/>
                  </c:ext>
                </c:extLst>
              </c15:ser>
            </c15:filteredPieSeries>
          </c:ext>
        </c:extLst>
      </c:pieChart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0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1"/>
          <c:order val="1"/>
          <c:tx>
            <c:strRef>
              <c:f>'Données '!$B$201</c:f>
              <c:strCache>
                <c:ptCount val="1"/>
                <c:pt idx="0">
                  <c:v>DBA</c:v>
                </c:pt>
              </c:strCache>
              <c:extLst xmlns:c15="http://schemas.microsoft.com/office/drawing/2012/chart"/>
            </c:strRef>
          </c:tx>
          <c:dPt>
            <c:idx val="0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8D0-5918-4A61-9771-4BDA5A6BC233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8D2-5918-4A61-9771-4BDA5A6BC233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8D4-5918-4A61-9771-4BDA5A6BC233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8D6-5918-4A61-9771-4BDA5A6BC233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8D8-5918-4A61-9771-4BDA5A6BC233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8DA-5918-4A61-9771-4BDA5A6BC233}"/>
              </c:ext>
            </c:extLst>
          </c:dPt>
          <c:dPt>
            <c:idx val="6"/>
            <c:bubble3D val="0"/>
            <c:spPr>
              <a:solidFill>
                <a:schemeClr val="tx1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8DC-5918-4A61-9771-4BDA5A6BC233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8DE-5918-4A61-9771-4BDA5A6BC233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8E0-5918-4A61-9771-4BDA5A6BC233}"/>
              </c:ext>
            </c:extLst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8E2-5918-4A61-9771-4BDA5A6BC233}"/>
              </c:ext>
            </c:extLst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8E4-5918-4A61-9771-4BDA5A6BC233}"/>
              </c:ext>
            </c:extLst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8E6-5918-4A61-9771-4BDA5A6BC233}"/>
              </c:ext>
            </c:extLst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8E8-5918-4A61-9771-4BDA5A6BC233}"/>
              </c:ext>
            </c:extLst>
          </c:dPt>
          <c:dPt>
            <c:idx val="1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8EA-5918-4A61-9771-4BDA5A6BC233}"/>
              </c:ext>
            </c:extLst>
          </c:dPt>
          <c:dPt>
            <c:idx val="1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8EC-5918-4A61-9771-4BDA5A6BC233}"/>
              </c:ext>
            </c:extLst>
          </c:dPt>
          <c:dPt>
            <c:idx val="1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8EE-5918-4A61-9771-4BDA5A6BC233}"/>
              </c:ext>
            </c:extLst>
          </c:dPt>
          <c:dPt>
            <c:idx val="1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8F0-5918-4A61-9771-4BDA5A6BC233}"/>
              </c:ext>
            </c:extLst>
          </c:dPt>
          <c:dPt>
            <c:idx val="1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8F2-5918-4A61-9771-4BDA5A6BC233}"/>
              </c:ext>
            </c:extLst>
          </c:dPt>
          <c:dPt>
            <c:idx val="18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8F4-5918-4A61-9771-4BDA5A6BC233}"/>
              </c:ext>
            </c:extLst>
          </c:dPt>
          <c:dPt>
            <c:idx val="19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8F6-5918-4A61-9771-4BDA5A6BC233}"/>
              </c:ext>
            </c:extLst>
          </c:dPt>
          <c:dPt>
            <c:idx val="20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8F8-5918-4A61-9771-4BDA5A6BC233}"/>
              </c:ext>
            </c:extLst>
          </c:dPt>
          <c:dPt>
            <c:idx val="21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8FA-5918-4A61-9771-4BDA5A6BC233}"/>
              </c:ext>
            </c:extLst>
          </c:dPt>
          <c:dPt>
            <c:idx val="22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8FC-5918-4A61-9771-4BDA5A6BC233}"/>
              </c:ext>
            </c:extLst>
          </c:dPt>
          <c:dPt>
            <c:idx val="23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8FE-5918-4A61-9771-4BDA5A6BC233}"/>
              </c:ext>
            </c:extLst>
          </c:dPt>
          <c:dPt>
            <c:idx val="2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00-5918-4A61-9771-4BDA5A6BC233}"/>
              </c:ext>
            </c:extLst>
          </c:dPt>
          <c:dPt>
            <c:idx val="2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02-5918-4A61-9771-4BDA5A6BC233}"/>
              </c:ext>
            </c:extLst>
          </c:dPt>
          <c:dPt>
            <c:idx val="2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04-5918-4A61-9771-4BDA5A6BC233}"/>
              </c:ext>
            </c:extLst>
          </c:dPt>
          <c:dPt>
            <c:idx val="2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06-5918-4A61-9771-4BDA5A6BC233}"/>
              </c:ext>
            </c:extLst>
          </c:dPt>
          <c:dPt>
            <c:idx val="28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08-5918-4A61-9771-4BDA5A6BC233}"/>
              </c:ext>
            </c:extLst>
          </c:dPt>
          <c:dPt>
            <c:idx val="29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0A-5918-4A61-9771-4BDA5A6BC233}"/>
              </c:ext>
            </c:extLst>
          </c:dPt>
          <c:dPt>
            <c:idx val="30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0C-5918-4A61-9771-4BDA5A6BC233}"/>
              </c:ext>
            </c:extLst>
          </c:dPt>
          <c:dPt>
            <c:idx val="31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0E-5918-4A61-9771-4BDA5A6BC233}"/>
              </c:ext>
            </c:extLst>
          </c:dPt>
          <c:dPt>
            <c:idx val="32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10-5918-4A61-9771-4BDA5A6BC233}"/>
              </c:ext>
            </c:extLst>
          </c:dPt>
          <c:dPt>
            <c:idx val="33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12-5918-4A61-9771-4BDA5A6BC233}"/>
              </c:ext>
            </c:extLst>
          </c:dPt>
          <c:dPt>
            <c:idx val="34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14-5918-4A61-9771-4BDA5A6BC233}"/>
              </c:ext>
            </c:extLst>
          </c:dPt>
          <c:dPt>
            <c:idx val="35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16-5918-4A61-9771-4BDA5A6BC233}"/>
              </c:ext>
            </c:extLst>
          </c:dPt>
          <c:dPt>
            <c:idx val="36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18-5918-4A61-9771-4BDA5A6BC233}"/>
              </c:ext>
            </c:extLst>
          </c:dPt>
          <c:dPt>
            <c:idx val="37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1A-5918-4A61-9771-4BDA5A6BC233}"/>
              </c:ext>
            </c:extLst>
          </c:dPt>
          <c:dPt>
            <c:idx val="38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1C-5918-4A61-9771-4BDA5A6BC233}"/>
              </c:ext>
            </c:extLst>
          </c:dPt>
          <c:dPt>
            <c:idx val="39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1E-5918-4A61-9771-4BDA5A6BC233}"/>
              </c:ext>
            </c:extLst>
          </c:dPt>
          <c:dPt>
            <c:idx val="40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20-5918-4A61-9771-4BDA5A6BC233}"/>
              </c:ext>
            </c:extLst>
          </c:dPt>
          <c:dPt>
            <c:idx val="41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22-5918-4A61-9771-4BDA5A6BC233}"/>
              </c:ext>
            </c:extLst>
          </c:dPt>
          <c:dPt>
            <c:idx val="42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24-5918-4A61-9771-4BDA5A6BC233}"/>
              </c:ext>
            </c:extLst>
          </c:dPt>
          <c:dPt>
            <c:idx val="43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26-5918-4A61-9771-4BDA5A6BC233}"/>
              </c:ext>
            </c:extLst>
          </c:dPt>
          <c:dPt>
            <c:idx val="44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28-5918-4A61-9771-4BDA5A6BC233}"/>
              </c:ext>
            </c:extLst>
          </c:dPt>
          <c:dPt>
            <c:idx val="45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2A-5918-4A61-9771-4BDA5A6BC233}"/>
              </c:ext>
            </c:extLst>
          </c:dPt>
          <c:dPt>
            <c:idx val="46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2C-5918-4A61-9771-4BDA5A6BC233}"/>
              </c:ext>
            </c:extLst>
          </c:dPt>
          <c:dPt>
            <c:idx val="47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2E-5918-4A61-9771-4BDA5A6BC233}"/>
              </c:ext>
            </c:extLst>
          </c:dPt>
          <c:dPt>
            <c:idx val="48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30-5918-4A61-9771-4BDA5A6BC233}"/>
              </c:ext>
            </c:extLst>
          </c:dPt>
          <c:dPt>
            <c:idx val="49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32-5918-4A61-9771-4BDA5A6BC233}"/>
              </c:ext>
            </c:extLst>
          </c:dPt>
          <c:dPt>
            <c:idx val="50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34-5918-4A61-9771-4BDA5A6BC233}"/>
              </c:ext>
            </c:extLst>
          </c:dPt>
          <c:dPt>
            <c:idx val="51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36-5918-4A61-9771-4BDA5A6BC233}"/>
              </c:ext>
            </c:extLst>
          </c:dPt>
          <c:dPt>
            <c:idx val="52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38-5918-4A61-9771-4BDA5A6BC233}"/>
              </c:ext>
            </c:extLst>
          </c:dPt>
          <c:dPt>
            <c:idx val="53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3A-5918-4A61-9771-4BDA5A6BC233}"/>
              </c:ext>
            </c:extLst>
          </c:dPt>
          <c:dPt>
            <c:idx val="54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3C-5918-4A61-9771-4BDA5A6BC233}"/>
              </c:ext>
            </c:extLst>
          </c:dPt>
          <c:dPt>
            <c:idx val="55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3E-5918-4A61-9771-4BDA5A6BC233}"/>
              </c:ext>
            </c:extLst>
          </c:dPt>
          <c:dPt>
            <c:idx val="56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40-5918-4A61-9771-4BDA5A6BC233}"/>
              </c:ext>
            </c:extLst>
          </c:dPt>
          <c:dPt>
            <c:idx val="57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42-5918-4A61-9771-4BDA5A6BC233}"/>
              </c:ext>
            </c:extLst>
          </c:dPt>
          <c:dPt>
            <c:idx val="58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44-5918-4A61-9771-4BDA5A6BC233}"/>
              </c:ext>
            </c:extLst>
          </c:dPt>
          <c:dPt>
            <c:idx val="59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46-5918-4A61-9771-4BDA5A6BC233}"/>
              </c:ext>
            </c:extLst>
          </c:dPt>
          <c:dPt>
            <c:idx val="60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48-5918-4A61-9771-4BDA5A6BC233}"/>
              </c:ext>
            </c:extLst>
          </c:dPt>
          <c:dPt>
            <c:idx val="61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4A-5918-4A61-9771-4BDA5A6BC233}"/>
              </c:ext>
            </c:extLst>
          </c:dPt>
          <c:dPt>
            <c:idx val="62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4C-5918-4A61-9771-4BDA5A6BC233}"/>
              </c:ext>
            </c:extLst>
          </c:dPt>
          <c:dPt>
            <c:idx val="63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4E-5918-4A61-9771-4BDA5A6BC233}"/>
              </c:ext>
            </c:extLst>
          </c:dPt>
          <c:dPt>
            <c:idx val="64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50-5918-4A61-9771-4BDA5A6BC233}"/>
              </c:ext>
            </c:extLst>
          </c:dPt>
          <c:dPt>
            <c:idx val="65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52-5918-4A61-9771-4BDA5A6BC233}"/>
              </c:ext>
            </c:extLst>
          </c:dPt>
          <c:dPt>
            <c:idx val="66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54-5918-4A61-9771-4BDA5A6BC233}"/>
              </c:ext>
            </c:extLst>
          </c:dPt>
          <c:dPt>
            <c:idx val="67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56-5918-4A61-9771-4BDA5A6BC233}"/>
              </c:ext>
            </c:extLst>
          </c:dPt>
          <c:dPt>
            <c:idx val="68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58-5918-4A61-9771-4BDA5A6BC233}"/>
              </c:ext>
            </c:extLst>
          </c:dPt>
          <c:dPt>
            <c:idx val="69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5A-5918-4A61-9771-4BDA5A6BC233}"/>
              </c:ext>
            </c:extLst>
          </c:dPt>
          <c:dPt>
            <c:idx val="70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5C-5918-4A61-9771-4BDA5A6BC233}"/>
              </c:ext>
            </c:extLst>
          </c:dPt>
          <c:dPt>
            <c:idx val="71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5E-5918-4A61-9771-4BDA5A6BC233}"/>
              </c:ext>
            </c:extLst>
          </c:dPt>
          <c:dPt>
            <c:idx val="72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60-5918-4A61-9771-4BDA5A6BC233}"/>
              </c:ext>
            </c:extLst>
          </c:dPt>
          <c:dPt>
            <c:idx val="73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62-5918-4A61-9771-4BDA5A6BC233}"/>
              </c:ext>
            </c:extLst>
          </c:dPt>
          <c:dPt>
            <c:idx val="74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64-5918-4A61-9771-4BDA5A6BC233}"/>
              </c:ext>
            </c:extLst>
          </c:dPt>
          <c:dPt>
            <c:idx val="75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66-5918-4A61-9771-4BDA5A6BC233}"/>
              </c:ext>
            </c:extLst>
          </c:dPt>
          <c:dPt>
            <c:idx val="76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68-5918-4A61-9771-4BDA5A6BC233}"/>
              </c:ext>
            </c:extLst>
          </c:dPt>
          <c:dPt>
            <c:idx val="77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6A-5918-4A61-9771-4BDA5A6BC233}"/>
              </c:ext>
            </c:extLst>
          </c:dPt>
          <c:dPt>
            <c:idx val="78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6C-5918-4A61-9771-4BDA5A6BC233}"/>
              </c:ext>
            </c:extLst>
          </c:dPt>
          <c:dPt>
            <c:idx val="79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6E-5918-4A61-9771-4BDA5A6BC233}"/>
              </c:ext>
            </c:extLst>
          </c:dPt>
          <c:dPt>
            <c:idx val="80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70-5918-4A61-9771-4BDA5A6BC233}"/>
              </c:ext>
            </c:extLst>
          </c:dPt>
          <c:dPt>
            <c:idx val="81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72-5918-4A61-9771-4BDA5A6BC233}"/>
              </c:ext>
            </c:extLst>
          </c:dPt>
          <c:dPt>
            <c:idx val="82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74-5918-4A61-9771-4BDA5A6BC233}"/>
              </c:ext>
            </c:extLst>
          </c:dPt>
          <c:dPt>
            <c:idx val="83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76-5918-4A61-9771-4BDA5A6BC233}"/>
              </c:ext>
            </c:extLst>
          </c:dPt>
          <c:dPt>
            <c:idx val="84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78-5918-4A61-9771-4BDA5A6BC233}"/>
              </c:ext>
            </c:extLst>
          </c:dPt>
          <c:dPt>
            <c:idx val="85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7A-5918-4A61-9771-4BDA5A6BC233}"/>
              </c:ext>
            </c:extLst>
          </c:dPt>
          <c:dPt>
            <c:idx val="86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7C-5918-4A61-9771-4BDA5A6BC233}"/>
              </c:ext>
            </c:extLst>
          </c:dPt>
          <c:dPt>
            <c:idx val="87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7E-5918-4A61-9771-4BDA5A6BC233}"/>
              </c:ext>
            </c:extLst>
          </c:dPt>
          <c:dPt>
            <c:idx val="88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80-5918-4A61-9771-4BDA5A6BC233}"/>
              </c:ext>
            </c:extLst>
          </c:dPt>
          <c:dPt>
            <c:idx val="89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82-5918-4A61-9771-4BDA5A6BC233}"/>
              </c:ext>
            </c:extLst>
          </c:dPt>
          <c:dPt>
            <c:idx val="90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84-5918-4A61-9771-4BDA5A6BC233}"/>
              </c:ext>
            </c:extLst>
          </c:dPt>
          <c:dPt>
            <c:idx val="91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86-5918-4A61-9771-4BDA5A6BC233}"/>
              </c:ext>
            </c:extLst>
          </c:dPt>
          <c:dPt>
            <c:idx val="92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88-5918-4A61-9771-4BDA5A6BC233}"/>
              </c:ext>
            </c:extLst>
          </c:dPt>
          <c:dPt>
            <c:idx val="93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8A-5918-4A61-9771-4BDA5A6BC233}"/>
              </c:ext>
            </c:extLst>
          </c:dPt>
          <c:dPt>
            <c:idx val="94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8C-5918-4A61-9771-4BDA5A6BC233}"/>
              </c:ext>
            </c:extLst>
          </c:dPt>
          <c:dPt>
            <c:idx val="95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8E-5918-4A61-9771-4BDA5A6BC233}"/>
              </c:ext>
            </c:extLst>
          </c:dPt>
          <c:dPt>
            <c:idx val="96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90-5918-4A61-9771-4BDA5A6BC233}"/>
              </c:ext>
            </c:extLst>
          </c:dPt>
          <c:dPt>
            <c:idx val="97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92-5918-4A61-9771-4BDA5A6BC233}"/>
              </c:ext>
            </c:extLst>
          </c:dPt>
          <c:dPt>
            <c:idx val="98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94-5918-4A61-9771-4BDA5A6BC233}"/>
              </c:ext>
            </c:extLst>
          </c:dPt>
          <c:dPt>
            <c:idx val="99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96-5918-4A61-9771-4BDA5A6BC233}"/>
              </c:ext>
            </c:extLst>
          </c:dPt>
          <c:dPt>
            <c:idx val="100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98-5918-4A61-9771-4BDA5A6BC233}"/>
              </c:ext>
            </c:extLst>
          </c:dPt>
          <c:dPt>
            <c:idx val="101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9A-5918-4A61-9771-4BDA5A6BC233}"/>
              </c:ext>
            </c:extLst>
          </c:dPt>
          <c:dPt>
            <c:idx val="102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9C-5918-4A61-9771-4BDA5A6BC233}"/>
              </c:ext>
            </c:extLst>
          </c:dPt>
          <c:dPt>
            <c:idx val="103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9E-5918-4A61-9771-4BDA5A6BC233}"/>
              </c:ext>
            </c:extLst>
          </c:dPt>
          <c:dPt>
            <c:idx val="104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A0-5918-4A61-9771-4BDA5A6BC233}"/>
              </c:ext>
            </c:extLst>
          </c:dPt>
          <c:dPt>
            <c:idx val="105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A2-5918-4A61-9771-4BDA5A6BC233}"/>
              </c:ext>
            </c:extLst>
          </c:dPt>
          <c:dPt>
            <c:idx val="106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A4-5918-4A61-9771-4BDA5A6BC233}"/>
              </c:ext>
            </c:extLst>
          </c:dPt>
          <c:dPt>
            <c:idx val="107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A6-5918-4A61-9771-4BDA5A6BC233}"/>
              </c:ext>
            </c:extLst>
          </c:dPt>
          <c:dPt>
            <c:idx val="108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A8-5918-4A61-9771-4BDA5A6BC233}"/>
              </c:ext>
            </c:extLst>
          </c:dPt>
          <c:dPt>
            <c:idx val="109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AA-5918-4A61-9771-4BDA5A6BC233}"/>
              </c:ext>
            </c:extLst>
          </c:dPt>
          <c:dPt>
            <c:idx val="110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AC-5918-4A61-9771-4BDA5A6BC233}"/>
              </c:ext>
            </c:extLst>
          </c:dPt>
          <c:dPt>
            <c:idx val="111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AE-5918-4A61-9771-4BDA5A6BC233}"/>
              </c:ext>
            </c:extLst>
          </c:dPt>
          <c:dPt>
            <c:idx val="112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B0-5918-4A61-9771-4BDA5A6BC233}"/>
              </c:ext>
            </c:extLst>
          </c:dPt>
          <c:dPt>
            <c:idx val="113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B2-5918-4A61-9771-4BDA5A6BC233}"/>
              </c:ext>
            </c:extLst>
          </c:dPt>
          <c:dPt>
            <c:idx val="114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B4-5918-4A61-9771-4BDA5A6BC233}"/>
              </c:ext>
            </c:extLst>
          </c:dPt>
          <c:dPt>
            <c:idx val="115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B6-5918-4A61-9771-4BDA5A6BC233}"/>
              </c:ext>
            </c:extLst>
          </c:dPt>
          <c:dPt>
            <c:idx val="116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B8-5918-4A61-9771-4BDA5A6BC233}"/>
              </c:ext>
            </c:extLst>
          </c:dPt>
          <c:dPt>
            <c:idx val="117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BA-5918-4A61-9771-4BDA5A6BC233}"/>
              </c:ext>
            </c:extLst>
          </c:dPt>
          <c:dPt>
            <c:idx val="118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BC-5918-4A61-9771-4BDA5A6BC233}"/>
              </c:ext>
            </c:extLst>
          </c:dPt>
          <c:dPt>
            <c:idx val="119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BE-5918-4A61-9771-4BDA5A6BC233}"/>
              </c:ext>
            </c:extLst>
          </c:dPt>
          <c:dPt>
            <c:idx val="120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C0-5918-4A61-9771-4BDA5A6BC233}"/>
              </c:ext>
            </c:extLst>
          </c:dPt>
          <c:dPt>
            <c:idx val="121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C2-5918-4A61-9771-4BDA5A6BC233}"/>
              </c:ext>
            </c:extLst>
          </c:dPt>
          <c:dPt>
            <c:idx val="122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C4-5918-4A61-9771-4BDA5A6BC233}"/>
              </c:ext>
            </c:extLst>
          </c:dPt>
          <c:dPt>
            <c:idx val="123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C6-5918-4A61-9771-4BDA5A6BC233}"/>
              </c:ext>
            </c:extLst>
          </c:dPt>
          <c:dPt>
            <c:idx val="124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C8-5918-4A61-9771-4BDA5A6BC233}"/>
              </c:ext>
            </c:extLst>
          </c:dPt>
          <c:dPt>
            <c:idx val="125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CA-5918-4A61-9771-4BDA5A6BC233}"/>
              </c:ext>
            </c:extLst>
          </c:dPt>
          <c:dPt>
            <c:idx val="126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CC-5918-4A61-9771-4BDA5A6BC233}"/>
              </c:ext>
            </c:extLst>
          </c:dPt>
          <c:dPt>
            <c:idx val="127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CE-5918-4A61-9771-4BDA5A6BC233}"/>
              </c:ext>
            </c:extLst>
          </c:dPt>
          <c:dPt>
            <c:idx val="128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D0-5918-4A61-9771-4BDA5A6BC233}"/>
              </c:ext>
            </c:extLst>
          </c:dPt>
          <c:dPt>
            <c:idx val="129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D2-5918-4A61-9771-4BDA5A6BC233}"/>
              </c:ext>
            </c:extLst>
          </c:dPt>
          <c:dPt>
            <c:idx val="130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D4-5918-4A61-9771-4BDA5A6BC233}"/>
              </c:ext>
            </c:extLst>
          </c:dPt>
          <c:dPt>
            <c:idx val="131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D6-5918-4A61-9771-4BDA5A6BC233}"/>
              </c:ext>
            </c:extLst>
          </c:dPt>
          <c:dPt>
            <c:idx val="132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D8-5918-4A61-9771-4BDA5A6BC233}"/>
              </c:ext>
            </c:extLst>
          </c:dPt>
          <c:dPt>
            <c:idx val="133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DA-5918-4A61-9771-4BDA5A6BC233}"/>
              </c:ext>
            </c:extLst>
          </c:dPt>
          <c:dPt>
            <c:idx val="134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DC-5918-4A61-9771-4BDA5A6BC233}"/>
              </c:ext>
            </c:extLst>
          </c:dPt>
          <c:dPt>
            <c:idx val="135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DE-5918-4A61-9771-4BDA5A6BC233}"/>
              </c:ext>
            </c:extLst>
          </c:dPt>
          <c:dPt>
            <c:idx val="136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E0-5918-4A61-9771-4BDA5A6BC233}"/>
              </c:ext>
            </c:extLst>
          </c:dPt>
          <c:dPt>
            <c:idx val="137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E2-5918-4A61-9771-4BDA5A6BC233}"/>
              </c:ext>
            </c:extLst>
          </c:dPt>
          <c:dPt>
            <c:idx val="138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E4-5918-4A61-9771-4BDA5A6BC233}"/>
              </c:ext>
            </c:extLst>
          </c:dPt>
          <c:dPt>
            <c:idx val="139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E6-5918-4A61-9771-4BDA5A6BC233}"/>
              </c:ext>
            </c:extLst>
          </c:dPt>
          <c:dPt>
            <c:idx val="140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E8-5918-4A61-9771-4BDA5A6BC233}"/>
              </c:ext>
            </c:extLst>
          </c:dPt>
          <c:dPt>
            <c:idx val="141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EA-5918-4A61-9771-4BDA5A6BC233}"/>
              </c:ext>
            </c:extLst>
          </c:dPt>
          <c:dPt>
            <c:idx val="142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EC-5918-4A61-9771-4BDA5A6BC233}"/>
              </c:ext>
            </c:extLst>
          </c:dPt>
          <c:dPt>
            <c:idx val="143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EE-5918-4A61-9771-4BDA5A6BC233}"/>
              </c:ext>
            </c:extLst>
          </c:dPt>
          <c:dPt>
            <c:idx val="144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F0-5918-4A61-9771-4BDA5A6BC233}"/>
              </c:ext>
            </c:extLst>
          </c:dPt>
          <c:dPt>
            <c:idx val="145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F2-5918-4A61-9771-4BDA5A6BC233}"/>
              </c:ext>
            </c:extLst>
          </c:dPt>
          <c:dPt>
            <c:idx val="146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F4-5918-4A61-9771-4BDA5A6BC233}"/>
              </c:ext>
            </c:extLst>
          </c:dPt>
          <c:dPt>
            <c:idx val="147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F6-5918-4A61-9771-4BDA5A6BC233}"/>
              </c:ext>
            </c:extLst>
          </c:dPt>
          <c:dPt>
            <c:idx val="148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F8-5918-4A61-9771-4BDA5A6BC233}"/>
              </c:ext>
            </c:extLst>
          </c:dPt>
          <c:dPt>
            <c:idx val="149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FA-5918-4A61-9771-4BDA5A6BC233}"/>
              </c:ext>
            </c:extLst>
          </c:dPt>
          <c:dPt>
            <c:idx val="150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FC-5918-4A61-9771-4BDA5A6BC233}"/>
              </c:ext>
            </c:extLst>
          </c:dPt>
          <c:dPt>
            <c:idx val="151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FE-5918-4A61-9771-4BDA5A6BC233}"/>
              </c:ext>
            </c:extLst>
          </c:dPt>
          <c:dPt>
            <c:idx val="152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00-5918-4A61-9771-4BDA5A6BC233}"/>
              </c:ext>
            </c:extLst>
          </c:dPt>
          <c:dPt>
            <c:idx val="153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02-5918-4A61-9771-4BDA5A6BC233}"/>
              </c:ext>
            </c:extLst>
          </c:dPt>
          <c:dPt>
            <c:idx val="154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04-5918-4A61-9771-4BDA5A6BC233}"/>
              </c:ext>
            </c:extLst>
          </c:dPt>
          <c:dPt>
            <c:idx val="155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06-5918-4A61-9771-4BDA5A6BC233}"/>
              </c:ext>
            </c:extLst>
          </c:dPt>
          <c:dPt>
            <c:idx val="156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08-5918-4A61-9771-4BDA5A6BC233}"/>
              </c:ext>
            </c:extLst>
          </c:dPt>
          <c:dPt>
            <c:idx val="157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0A-5918-4A61-9771-4BDA5A6BC233}"/>
              </c:ext>
            </c:extLst>
          </c:dPt>
          <c:dPt>
            <c:idx val="158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0C-5918-4A61-9771-4BDA5A6BC233}"/>
              </c:ext>
            </c:extLst>
          </c:dPt>
          <c:dPt>
            <c:idx val="159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0E-5918-4A61-9771-4BDA5A6BC233}"/>
              </c:ext>
            </c:extLst>
          </c:dPt>
          <c:dPt>
            <c:idx val="160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10-5918-4A61-9771-4BDA5A6BC233}"/>
              </c:ext>
            </c:extLst>
          </c:dPt>
          <c:dPt>
            <c:idx val="161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12-5918-4A61-9771-4BDA5A6BC233}"/>
              </c:ext>
            </c:extLst>
          </c:dPt>
          <c:dPt>
            <c:idx val="162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14-5918-4A61-9771-4BDA5A6BC233}"/>
              </c:ext>
            </c:extLst>
          </c:dPt>
          <c:dPt>
            <c:idx val="163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16-5918-4A61-9771-4BDA5A6BC233}"/>
              </c:ext>
            </c:extLst>
          </c:dPt>
          <c:dPt>
            <c:idx val="164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18-5918-4A61-9771-4BDA5A6BC233}"/>
              </c:ext>
            </c:extLst>
          </c:dPt>
          <c:dPt>
            <c:idx val="165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1A-5918-4A61-9771-4BDA5A6BC233}"/>
              </c:ext>
            </c:extLst>
          </c:dPt>
          <c:dPt>
            <c:idx val="166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1C-5918-4A61-9771-4BDA5A6BC233}"/>
              </c:ext>
            </c:extLst>
          </c:dPt>
          <c:dPt>
            <c:idx val="167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1E-5918-4A61-9771-4BDA5A6BC233}"/>
              </c:ext>
            </c:extLst>
          </c:dPt>
          <c:dPt>
            <c:idx val="168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20-5918-4A61-9771-4BDA5A6BC233}"/>
              </c:ext>
            </c:extLst>
          </c:dPt>
          <c:dPt>
            <c:idx val="169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22-5918-4A61-9771-4BDA5A6BC233}"/>
              </c:ext>
            </c:extLst>
          </c:dPt>
          <c:dPt>
            <c:idx val="170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24-5918-4A61-9771-4BDA5A6BC233}"/>
              </c:ext>
            </c:extLst>
          </c:dPt>
          <c:dPt>
            <c:idx val="171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26-5918-4A61-9771-4BDA5A6BC233}"/>
              </c:ext>
            </c:extLst>
          </c:dPt>
          <c:dPt>
            <c:idx val="172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28-5918-4A61-9771-4BDA5A6BC233}"/>
              </c:ext>
            </c:extLst>
          </c:dPt>
          <c:dPt>
            <c:idx val="173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2A-5918-4A61-9771-4BDA5A6BC233}"/>
              </c:ext>
            </c:extLst>
          </c:dPt>
          <c:dPt>
            <c:idx val="174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2C-5918-4A61-9771-4BDA5A6BC233}"/>
              </c:ext>
            </c:extLst>
          </c:dPt>
          <c:dPt>
            <c:idx val="175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2E-5918-4A61-9771-4BDA5A6BC233}"/>
              </c:ext>
            </c:extLst>
          </c:dPt>
          <c:dPt>
            <c:idx val="176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30-5918-4A61-9771-4BDA5A6BC233}"/>
              </c:ext>
            </c:extLst>
          </c:dPt>
          <c:dPt>
            <c:idx val="177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32-5918-4A61-9771-4BDA5A6BC233}"/>
              </c:ext>
            </c:extLst>
          </c:dPt>
          <c:dPt>
            <c:idx val="178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34-5918-4A61-9771-4BDA5A6BC233}"/>
              </c:ext>
            </c:extLst>
          </c:dPt>
          <c:dPt>
            <c:idx val="179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36-5918-4A61-9771-4BDA5A6BC233}"/>
              </c:ext>
            </c:extLst>
          </c:dPt>
          <c:dPt>
            <c:idx val="180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38-5918-4A61-9771-4BDA5A6BC233}"/>
              </c:ext>
            </c:extLst>
          </c:dPt>
          <c:dPt>
            <c:idx val="181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3A-5918-4A61-9771-4BDA5A6BC233}"/>
              </c:ext>
            </c:extLst>
          </c:dPt>
          <c:dPt>
            <c:idx val="182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3C-5918-4A61-9771-4BDA5A6BC233}"/>
              </c:ext>
            </c:extLst>
          </c:dPt>
          <c:dPt>
            <c:idx val="183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3E-5918-4A61-9771-4BDA5A6BC233}"/>
              </c:ext>
            </c:extLst>
          </c:dPt>
          <c:dPt>
            <c:idx val="184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40-5918-4A61-9771-4BDA5A6BC233}"/>
              </c:ext>
            </c:extLst>
          </c:dPt>
          <c:dPt>
            <c:idx val="185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42-5918-4A61-9771-4BDA5A6BC233}"/>
              </c:ext>
            </c:extLst>
          </c:dPt>
          <c:dPt>
            <c:idx val="186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44-5918-4A61-9771-4BDA5A6BC233}"/>
              </c:ext>
            </c:extLst>
          </c:dPt>
          <c:dPt>
            <c:idx val="187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46-5918-4A61-9771-4BDA5A6BC233}"/>
              </c:ext>
            </c:extLst>
          </c:dPt>
          <c:dPt>
            <c:idx val="188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48-5918-4A61-9771-4BDA5A6BC233}"/>
              </c:ext>
            </c:extLst>
          </c:dPt>
          <c:dPt>
            <c:idx val="189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4A-5918-4A61-9771-4BDA5A6BC233}"/>
              </c:ext>
            </c:extLst>
          </c:dPt>
          <c:dPt>
            <c:idx val="190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4C-5918-4A61-9771-4BDA5A6BC233}"/>
              </c:ext>
            </c:extLst>
          </c:dPt>
          <c:dPt>
            <c:idx val="191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4E-5918-4A61-9771-4BDA5A6BC233}"/>
              </c:ext>
            </c:extLst>
          </c:dPt>
          <c:dPt>
            <c:idx val="192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50-5918-4A61-9771-4BDA5A6BC233}"/>
              </c:ext>
            </c:extLst>
          </c:dPt>
          <c:dPt>
            <c:idx val="193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52-5918-4A61-9771-4BDA5A6BC233}"/>
              </c:ext>
            </c:extLst>
          </c:dPt>
          <c:dPt>
            <c:idx val="194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54-5918-4A61-9771-4BDA5A6BC233}"/>
              </c:ext>
            </c:extLst>
          </c:dPt>
          <c:dPt>
            <c:idx val="195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56-5918-4A61-9771-4BDA5A6BC233}"/>
              </c:ext>
            </c:extLst>
          </c:dPt>
          <c:dPt>
            <c:idx val="196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58-5918-4A61-9771-4BDA5A6BC233}"/>
              </c:ext>
            </c:extLst>
          </c:dPt>
          <c:dPt>
            <c:idx val="197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5A-5918-4A61-9771-4BDA5A6BC233}"/>
              </c:ext>
            </c:extLst>
          </c:dPt>
          <c:dPt>
            <c:idx val="198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5C-5918-4A61-9771-4BDA5A6BC233}"/>
              </c:ext>
            </c:extLst>
          </c:dPt>
          <c:dPt>
            <c:idx val="199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5E-5918-4A61-9771-4BDA5A6BC233}"/>
              </c:ext>
            </c:extLst>
          </c:dPt>
          <c:dPt>
            <c:idx val="200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60-5918-4A61-9771-4BDA5A6BC233}"/>
              </c:ext>
            </c:extLst>
          </c:dPt>
          <c:dPt>
            <c:idx val="201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62-5918-4A61-9771-4BDA5A6BC233}"/>
              </c:ext>
            </c:extLst>
          </c:dPt>
          <c:dPt>
            <c:idx val="202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64-5918-4A61-9771-4BDA5A6BC233}"/>
              </c:ext>
            </c:extLst>
          </c:dPt>
          <c:dPt>
            <c:idx val="203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66-5918-4A61-9771-4BDA5A6BC233}"/>
              </c:ext>
            </c:extLst>
          </c:dPt>
          <c:dPt>
            <c:idx val="204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68-5918-4A61-9771-4BDA5A6BC233}"/>
              </c:ext>
            </c:extLst>
          </c:dPt>
          <c:dPt>
            <c:idx val="205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6A-5918-4A61-9771-4BDA5A6BC233}"/>
              </c:ext>
            </c:extLst>
          </c:dPt>
          <c:dPt>
            <c:idx val="206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6C-5918-4A61-9771-4BDA5A6BC233}"/>
              </c:ext>
            </c:extLst>
          </c:dPt>
          <c:dPt>
            <c:idx val="207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6E-5918-4A61-9771-4BDA5A6BC233}"/>
              </c:ext>
            </c:extLst>
          </c:dPt>
          <c:dPt>
            <c:idx val="208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70-5918-4A61-9771-4BDA5A6BC233}"/>
              </c:ext>
            </c:extLst>
          </c:dPt>
          <c:dPt>
            <c:idx val="209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72-5918-4A61-9771-4BDA5A6BC233}"/>
              </c:ext>
            </c:extLst>
          </c:dPt>
          <c:dPt>
            <c:idx val="210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74-5918-4A61-9771-4BDA5A6BC233}"/>
              </c:ext>
            </c:extLst>
          </c:dPt>
          <c:dPt>
            <c:idx val="211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76-5918-4A61-9771-4BDA5A6BC233}"/>
              </c:ext>
            </c:extLst>
          </c:dPt>
          <c:dPt>
            <c:idx val="212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78-5918-4A61-9771-4BDA5A6BC233}"/>
              </c:ext>
            </c:extLst>
          </c:dPt>
          <c:dPt>
            <c:idx val="213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7A-5918-4A61-9771-4BDA5A6BC233}"/>
              </c:ext>
            </c:extLst>
          </c:dPt>
          <c:dPt>
            <c:idx val="214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7C-5918-4A61-9771-4BDA5A6BC233}"/>
              </c:ext>
            </c:extLst>
          </c:dPt>
          <c:dPt>
            <c:idx val="215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7E-5918-4A61-9771-4BDA5A6BC233}"/>
              </c:ext>
            </c:extLst>
          </c:dPt>
          <c:dPt>
            <c:idx val="216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80-5918-4A61-9771-4BDA5A6BC233}"/>
              </c:ext>
            </c:extLst>
          </c:dPt>
          <c:dPt>
            <c:idx val="217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82-5918-4A61-9771-4BDA5A6BC233}"/>
              </c:ext>
            </c:extLst>
          </c:dPt>
          <c:dPt>
            <c:idx val="218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84-5918-4A61-9771-4BDA5A6BC233}"/>
              </c:ext>
            </c:extLst>
          </c:dPt>
          <c:dPt>
            <c:idx val="219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86-5918-4A61-9771-4BDA5A6BC233}"/>
              </c:ext>
            </c:extLst>
          </c:dPt>
          <c:dPt>
            <c:idx val="220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88-5918-4A61-9771-4BDA5A6BC233}"/>
              </c:ext>
            </c:extLst>
          </c:dPt>
          <c:dPt>
            <c:idx val="221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8A-5918-4A61-9771-4BDA5A6BC233}"/>
              </c:ext>
            </c:extLst>
          </c:dPt>
          <c:dPt>
            <c:idx val="222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8C-5918-4A61-9771-4BDA5A6BC233}"/>
              </c:ext>
            </c:extLst>
          </c:dPt>
          <c:dPt>
            <c:idx val="223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8E-5918-4A61-9771-4BDA5A6BC233}"/>
              </c:ext>
            </c:extLst>
          </c:dPt>
          <c:dPt>
            <c:idx val="224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90-5918-4A61-9771-4BDA5A6BC233}"/>
              </c:ext>
            </c:extLst>
          </c:dPt>
          <c:dPt>
            <c:idx val="225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92-5918-4A61-9771-4BDA5A6BC233}"/>
              </c:ext>
            </c:extLst>
          </c:dPt>
          <c:dPt>
            <c:idx val="226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94-5918-4A61-9771-4BDA5A6BC233}"/>
              </c:ext>
            </c:extLst>
          </c:dPt>
          <c:dPt>
            <c:idx val="227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96-5918-4A61-9771-4BDA5A6BC233}"/>
              </c:ext>
            </c:extLst>
          </c:dPt>
          <c:dPt>
            <c:idx val="228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98-5918-4A61-9771-4BDA5A6BC233}"/>
              </c:ext>
            </c:extLst>
          </c:dPt>
          <c:dPt>
            <c:idx val="229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9A-5918-4A61-9771-4BDA5A6BC233}"/>
              </c:ext>
            </c:extLst>
          </c:dPt>
          <c:dPt>
            <c:idx val="230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9C-5918-4A61-9771-4BDA5A6BC233}"/>
              </c:ext>
            </c:extLst>
          </c:dPt>
          <c:dPt>
            <c:idx val="231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9E-5918-4A61-9771-4BDA5A6BC233}"/>
              </c:ext>
            </c:extLst>
          </c:dPt>
          <c:dPt>
            <c:idx val="232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A0-5918-4A61-9771-4BDA5A6BC233}"/>
              </c:ext>
            </c:extLst>
          </c:dPt>
          <c:dPt>
            <c:idx val="233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A2-5918-4A61-9771-4BDA5A6BC233}"/>
              </c:ext>
            </c:extLst>
          </c:dPt>
          <c:dPt>
            <c:idx val="234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A4-5918-4A61-9771-4BDA5A6BC233}"/>
              </c:ext>
            </c:extLst>
          </c:dPt>
          <c:dPt>
            <c:idx val="235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A6-5918-4A61-9771-4BDA5A6BC233}"/>
              </c:ext>
            </c:extLst>
          </c:dPt>
          <c:dPt>
            <c:idx val="236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A8-5918-4A61-9771-4BDA5A6BC233}"/>
              </c:ext>
            </c:extLst>
          </c:dPt>
          <c:dPt>
            <c:idx val="237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AA-5918-4A61-9771-4BDA5A6BC233}"/>
              </c:ext>
            </c:extLst>
          </c:dPt>
          <c:dPt>
            <c:idx val="238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AC-5918-4A61-9771-4BDA5A6BC233}"/>
              </c:ext>
            </c:extLst>
          </c:dPt>
          <c:dPt>
            <c:idx val="239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AE-5918-4A61-9771-4BDA5A6BC233}"/>
              </c:ext>
            </c:extLst>
          </c:dPt>
          <c:dPt>
            <c:idx val="240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B0-5918-4A61-9771-4BDA5A6BC233}"/>
              </c:ext>
            </c:extLst>
          </c:dPt>
          <c:dPt>
            <c:idx val="241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B2-5918-4A61-9771-4BDA5A6BC233}"/>
              </c:ext>
            </c:extLst>
          </c:dPt>
          <c:dPt>
            <c:idx val="242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B4-5918-4A61-9771-4BDA5A6BC233}"/>
              </c:ext>
            </c:extLst>
          </c:dPt>
          <c:dPt>
            <c:idx val="243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B6-5918-4A61-9771-4BDA5A6BC233}"/>
              </c:ext>
            </c:extLst>
          </c:dPt>
          <c:dPt>
            <c:idx val="244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B8-5918-4A61-9771-4BDA5A6BC233}"/>
              </c:ext>
            </c:extLst>
          </c:dPt>
          <c:dPt>
            <c:idx val="245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BA-5918-4A61-9771-4BDA5A6BC233}"/>
              </c:ext>
            </c:extLst>
          </c:dPt>
          <c:dPt>
            <c:idx val="246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BC-5918-4A61-9771-4BDA5A6BC233}"/>
              </c:ext>
            </c:extLst>
          </c:dPt>
          <c:dPt>
            <c:idx val="247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BE-5918-4A61-9771-4BDA5A6BC233}"/>
              </c:ext>
            </c:extLst>
          </c:dPt>
          <c:dPt>
            <c:idx val="248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C0-5918-4A61-9771-4BDA5A6BC233}"/>
              </c:ext>
            </c:extLst>
          </c:dPt>
          <c:dPt>
            <c:idx val="249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C2-5918-4A61-9771-4BDA5A6BC233}"/>
              </c:ext>
            </c:extLst>
          </c:dPt>
          <c:dPt>
            <c:idx val="250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C4-5918-4A61-9771-4BDA5A6BC233}"/>
              </c:ext>
            </c:extLst>
          </c:dPt>
          <c:dPt>
            <c:idx val="251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C6-5918-4A61-9771-4BDA5A6BC233}"/>
              </c:ext>
            </c:extLst>
          </c:dPt>
          <c:dPt>
            <c:idx val="252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C8-5918-4A61-9771-4BDA5A6BC233}"/>
              </c:ext>
            </c:extLst>
          </c:dPt>
          <c:dPt>
            <c:idx val="253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CA-5918-4A61-9771-4BDA5A6BC233}"/>
              </c:ext>
            </c:extLst>
          </c:dPt>
          <c:dPt>
            <c:idx val="254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CC-5918-4A61-9771-4BDA5A6BC233}"/>
              </c:ext>
            </c:extLst>
          </c:dPt>
          <c:dPt>
            <c:idx val="255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CE-5918-4A61-9771-4BDA5A6BC233}"/>
              </c:ext>
            </c:extLst>
          </c:dPt>
          <c:dPt>
            <c:idx val="256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D0-5918-4A61-9771-4BDA5A6BC233}"/>
              </c:ext>
            </c:extLst>
          </c:dPt>
          <c:dPt>
            <c:idx val="257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D2-5918-4A61-9771-4BDA5A6BC233}"/>
              </c:ext>
            </c:extLst>
          </c:dPt>
          <c:dPt>
            <c:idx val="258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D4-5918-4A61-9771-4BDA5A6BC233}"/>
              </c:ext>
            </c:extLst>
          </c:dPt>
          <c:dPt>
            <c:idx val="259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D6-5918-4A61-9771-4BDA5A6BC233}"/>
              </c:ext>
            </c:extLst>
          </c:dPt>
          <c:dPt>
            <c:idx val="260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D8-5918-4A61-9771-4BDA5A6BC233}"/>
              </c:ext>
            </c:extLst>
          </c:dPt>
          <c:dPt>
            <c:idx val="261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DA-5918-4A61-9771-4BDA5A6BC233}"/>
              </c:ext>
            </c:extLst>
          </c:dPt>
          <c:dPt>
            <c:idx val="262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DC-5918-4A61-9771-4BDA5A6BC233}"/>
              </c:ext>
            </c:extLst>
          </c:dPt>
          <c:dPt>
            <c:idx val="263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DE-5918-4A61-9771-4BDA5A6BC233}"/>
              </c:ext>
            </c:extLst>
          </c:dPt>
          <c:dPt>
            <c:idx val="264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E0-5918-4A61-9771-4BDA5A6BC233}"/>
              </c:ext>
            </c:extLst>
          </c:dPt>
          <c:dPt>
            <c:idx val="265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E2-5918-4A61-9771-4BDA5A6BC233}"/>
              </c:ext>
            </c:extLst>
          </c:dPt>
          <c:dPt>
            <c:idx val="266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E4-5918-4A61-9771-4BDA5A6BC233}"/>
              </c:ext>
            </c:extLst>
          </c:dPt>
          <c:dPt>
            <c:idx val="267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E6-5918-4A61-9771-4BDA5A6BC233}"/>
              </c:ext>
            </c:extLst>
          </c:dPt>
          <c:dPt>
            <c:idx val="268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E8-5918-4A61-9771-4BDA5A6BC233}"/>
              </c:ext>
            </c:extLst>
          </c:dPt>
          <c:dPt>
            <c:idx val="269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EA-5918-4A61-9771-4BDA5A6BC233}"/>
              </c:ext>
            </c:extLst>
          </c:dPt>
          <c:dPt>
            <c:idx val="27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EC-5918-4A61-9771-4BDA5A6BC233}"/>
              </c:ext>
            </c:extLst>
          </c:dPt>
          <c:dPt>
            <c:idx val="27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EE-5918-4A61-9771-4BDA5A6BC233}"/>
              </c:ext>
            </c:extLst>
          </c:dPt>
          <c:dPt>
            <c:idx val="27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F0-5918-4A61-9771-4BDA5A6BC233}"/>
              </c:ext>
            </c:extLst>
          </c:dPt>
          <c:dPt>
            <c:idx val="27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F2-5918-4A61-9771-4BDA5A6BC233}"/>
              </c:ext>
            </c:extLst>
          </c:dPt>
          <c:dPt>
            <c:idx val="27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F4-5918-4A61-9771-4BDA5A6BC233}"/>
              </c:ext>
            </c:extLst>
          </c:dPt>
          <c:dPt>
            <c:idx val="27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F6-5918-4A61-9771-4BDA5A6BC233}"/>
              </c:ext>
            </c:extLst>
          </c:dPt>
          <c:dPt>
            <c:idx val="27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F8-5918-4A61-9771-4BDA5A6BC233}"/>
              </c:ext>
            </c:extLst>
          </c:dPt>
          <c:dPt>
            <c:idx val="277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FA-5918-4A61-9771-4BDA5A6BC233}"/>
              </c:ext>
            </c:extLst>
          </c:dPt>
          <c:dPt>
            <c:idx val="278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FC-5918-4A61-9771-4BDA5A6BC233}"/>
              </c:ext>
            </c:extLst>
          </c:dPt>
          <c:dPt>
            <c:idx val="279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FE-5918-4A61-9771-4BDA5A6BC233}"/>
              </c:ext>
            </c:extLst>
          </c:dPt>
          <c:dPt>
            <c:idx val="280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00-5918-4A61-9771-4BDA5A6BC233}"/>
              </c:ext>
            </c:extLst>
          </c:dPt>
          <c:dPt>
            <c:idx val="281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02-5918-4A61-9771-4BDA5A6BC233}"/>
              </c:ext>
            </c:extLst>
          </c:dPt>
          <c:dPt>
            <c:idx val="28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04-5918-4A61-9771-4BDA5A6BC233}"/>
              </c:ext>
            </c:extLst>
          </c:dPt>
          <c:dPt>
            <c:idx val="28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06-5918-4A61-9771-4BDA5A6BC233}"/>
              </c:ext>
            </c:extLst>
          </c:dPt>
          <c:dPt>
            <c:idx val="28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08-5918-4A61-9771-4BDA5A6BC233}"/>
              </c:ext>
            </c:extLst>
          </c:dPt>
          <c:dPt>
            <c:idx val="28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0A-5918-4A61-9771-4BDA5A6BC233}"/>
              </c:ext>
            </c:extLst>
          </c:dPt>
          <c:dPt>
            <c:idx val="28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0C-5918-4A61-9771-4BDA5A6BC233}"/>
              </c:ext>
            </c:extLst>
          </c:dPt>
          <c:dPt>
            <c:idx val="28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0E-5918-4A61-9771-4BDA5A6BC233}"/>
              </c:ext>
            </c:extLst>
          </c:dPt>
          <c:dPt>
            <c:idx val="288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10-5918-4A61-9771-4BDA5A6BC233}"/>
              </c:ext>
            </c:extLst>
          </c:dPt>
          <c:dPt>
            <c:idx val="289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12-5918-4A61-9771-4BDA5A6BC233}"/>
              </c:ext>
            </c:extLst>
          </c:dPt>
          <c:dPt>
            <c:idx val="290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14-5918-4A61-9771-4BDA5A6BC233}"/>
              </c:ext>
            </c:extLst>
          </c:dPt>
          <c:dPt>
            <c:idx val="291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16-5918-4A61-9771-4BDA5A6BC233}"/>
              </c:ext>
            </c:extLst>
          </c:dPt>
          <c:dPt>
            <c:idx val="292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18-5918-4A61-9771-4BDA5A6BC233}"/>
              </c:ext>
            </c:extLst>
          </c:dPt>
          <c:dPt>
            <c:idx val="293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1A-5918-4A61-9771-4BDA5A6BC233}"/>
              </c:ext>
            </c:extLst>
          </c:dPt>
          <c:dPt>
            <c:idx val="29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1C-5918-4A61-9771-4BDA5A6BC233}"/>
              </c:ext>
            </c:extLst>
          </c:dPt>
          <c:dPt>
            <c:idx val="29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1E-5918-4A61-9771-4BDA5A6BC233}"/>
              </c:ext>
            </c:extLst>
          </c:dPt>
          <c:dPt>
            <c:idx val="29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20-5918-4A61-9771-4BDA5A6BC233}"/>
              </c:ext>
            </c:extLst>
          </c:dPt>
          <c:dPt>
            <c:idx val="29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22-5918-4A61-9771-4BDA5A6BC233}"/>
              </c:ext>
            </c:extLst>
          </c:dPt>
          <c:dPt>
            <c:idx val="298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24-5918-4A61-9771-4BDA5A6BC233}"/>
              </c:ext>
            </c:extLst>
          </c:dPt>
          <c:dPt>
            <c:idx val="299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26-5918-4A61-9771-4BDA5A6BC233}"/>
              </c:ext>
            </c:extLst>
          </c:dPt>
          <c:dPt>
            <c:idx val="300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28-5918-4A61-9771-4BDA5A6BC233}"/>
              </c:ext>
            </c:extLst>
          </c:dPt>
          <c:dPt>
            <c:idx val="301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2A-5918-4A61-9771-4BDA5A6BC233}"/>
              </c:ext>
            </c:extLst>
          </c:dPt>
          <c:dPt>
            <c:idx val="302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2C-5918-4A61-9771-4BDA5A6BC233}"/>
              </c:ext>
            </c:extLst>
          </c:dPt>
          <c:dPt>
            <c:idx val="303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2E-5918-4A61-9771-4BDA5A6BC233}"/>
              </c:ext>
            </c:extLst>
          </c:dPt>
          <c:dPt>
            <c:idx val="304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30-5918-4A61-9771-4BDA5A6BC233}"/>
              </c:ext>
            </c:extLst>
          </c:dPt>
          <c:dPt>
            <c:idx val="305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32-5918-4A61-9771-4BDA5A6BC233}"/>
              </c:ext>
            </c:extLst>
          </c:dPt>
          <c:dPt>
            <c:idx val="306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34-5918-4A61-9771-4BDA5A6BC233}"/>
              </c:ext>
            </c:extLst>
          </c:dPt>
          <c:dPt>
            <c:idx val="307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36-5918-4A61-9771-4BDA5A6BC233}"/>
              </c:ext>
            </c:extLst>
          </c:dPt>
          <c:dPt>
            <c:idx val="308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38-5918-4A61-9771-4BDA5A6BC233}"/>
              </c:ext>
            </c:extLst>
          </c:dPt>
          <c:dPt>
            <c:idx val="309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3A-5918-4A61-9771-4BDA5A6BC233}"/>
              </c:ext>
            </c:extLst>
          </c:dPt>
          <c:dPt>
            <c:idx val="310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3C-5918-4A61-9771-4BDA5A6BC233}"/>
              </c:ext>
            </c:extLst>
          </c:dPt>
          <c:dPt>
            <c:idx val="311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3E-5918-4A61-9771-4BDA5A6BC233}"/>
              </c:ext>
            </c:extLst>
          </c:dPt>
          <c:dPt>
            <c:idx val="312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40-5918-4A61-9771-4BDA5A6BC233}"/>
              </c:ext>
            </c:extLst>
          </c:dPt>
          <c:dPt>
            <c:idx val="313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42-5918-4A61-9771-4BDA5A6BC233}"/>
              </c:ext>
            </c:extLst>
          </c:dPt>
          <c:dPt>
            <c:idx val="314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44-5918-4A61-9771-4BDA5A6BC233}"/>
              </c:ext>
            </c:extLst>
          </c:dPt>
          <c:dPt>
            <c:idx val="315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46-5918-4A61-9771-4BDA5A6BC233}"/>
              </c:ext>
            </c:extLst>
          </c:dPt>
          <c:dPt>
            <c:idx val="316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48-5918-4A61-9771-4BDA5A6BC233}"/>
              </c:ext>
            </c:extLst>
          </c:dPt>
          <c:dPt>
            <c:idx val="317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4A-5918-4A61-9771-4BDA5A6BC233}"/>
              </c:ext>
            </c:extLst>
          </c:dPt>
          <c:dPt>
            <c:idx val="318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4C-5918-4A61-9771-4BDA5A6BC233}"/>
              </c:ext>
            </c:extLst>
          </c:dPt>
          <c:dPt>
            <c:idx val="319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4E-5918-4A61-9771-4BDA5A6BC233}"/>
              </c:ext>
            </c:extLst>
          </c:dPt>
          <c:dPt>
            <c:idx val="320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50-5918-4A61-9771-4BDA5A6BC233}"/>
              </c:ext>
            </c:extLst>
          </c:dPt>
          <c:dPt>
            <c:idx val="321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52-5918-4A61-9771-4BDA5A6BC233}"/>
              </c:ext>
            </c:extLst>
          </c:dPt>
          <c:dPt>
            <c:idx val="322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54-5918-4A61-9771-4BDA5A6BC233}"/>
              </c:ext>
            </c:extLst>
          </c:dPt>
          <c:dPt>
            <c:idx val="323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56-5918-4A61-9771-4BDA5A6BC233}"/>
              </c:ext>
            </c:extLst>
          </c:dPt>
          <c:dPt>
            <c:idx val="324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58-5918-4A61-9771-4BDA5A6BC233}"/>
              </c:ext>
            </c:extLst>
          </c:dPt>
          <c:dPt>
            <c:idx val="325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5A-5918-4A61-9771-4BDA5A6BC233}"/>
              </c:ext>
            </c:extLst>
          </c:dPt>
          <c:dPt>
            <c:idx val="326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5C-5918-4A61-9771-4BDA5A6BC233}"/>
              </c:ext>
            </c:extLst>
          </c:dPt>
          <c:dPt>
            <c:idx val="327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5E-5918-4A61-9771-4BDA5A6BC233}"/>
              </c:ext>
            </c:extLst>
          </c:dPt>
          <c:dPt>
            <c:idx val="328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60-5918-4A61-9771-4BDA5A6BC233}"/>
              </c:ext>
            </c:extLst>
          </c:dPt>
          <c:dPt>
            <c:idx val="329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62-5918-4A61-9771-4BDA5A6BC233}"/>
              </c:ext>
            </c:extLst>
          </c:dPt>
          <c:dPt>
            <c:idx val="330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64-5918-4A61-9771-4BDA5A6BC233}"/>
              </c:ext>
            </c:extLst>
          </c:dPt>
          <c:dPt>
            <c:idx val="331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66-5918-4A61-9771-4BDA5A6BC233}"/>
              </c:ext>
            </c:extLst>
          </c:dPt>
          <c:dPt>
            <c:idx val="332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68-5918-4A61-9771-4BDA5A6BC233}"/>
              </c:ext>
            </c:extLst>
          </c:dPt>
          <c:dPt>
            <c:idx val="333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6A-5918-4A61-9771-4BDA5A6BC233}"/>
              </c:ext>
            </c:extLst>
          </c:dPt>
          <c:dPt>
            <c:idx val="334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6C-5918-4A61-9771-4BDA5A6BC233}"/>
              </c:ext>
            </c:extLst>
          </c:dPt>
          <c:dPt>
            <c:idx val="335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6E-5918-4A61-9771-4BDA5A6BC233}"/>
              </c:ext>
            </c:extLst>
          </c:dPt>
          <c:dPt>
            <c:idx val="336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70-5918-4A61-9771-4BDA5A6BC233}"/>
              </c:ext>
            </c:extLst>
          </c:dPt>
          <c:dPt>
            <c:idx val="337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72-5918-4A61-9771-4BDA5A6BC233}"/>
              </c:ext>
            </c:extLst>
          </c:dPt>
          <c:dPt>
            <c:idx val="338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74-5918-4A61-9771-4BDA5A6BC233}"/>
              </c:ext>
            </c:extLst>
          </c:dPt>
          <c:dPt>
            <c:idx val="339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76-5918-4A61-9771-4BDA5A6BC233}"/>
              </c:ext>
            </c:extLst>
          </c:dPt>
          <c:dPt>
            <c:idx val="340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78-5918-4A61-9771-4BDA5A6BC233}"/>
              </c:ext>
            </c:extLst>
          </c:dPt>
          <c:dPt>
            <c:idx val="341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7A-5918-4A61-9771-4BDA5A6BC233}"/>
              </c:ext>
            </c:extLst>
          </c:dPt>
          <c:dPt>
            <c:idx val="342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7C-5918-4A61-9771-4BDA5A6BC233}"/>
              </c:ext>
            </c:extLst>
          </c:dPt>
          <c:dPt>
            <c:idx val="343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7E-5918-4A61-9771-4BDA5A6BC233}"/>
              </c:ext>
            </c:extLst>
          </c:dPt>
          <c:dPt>
            <c:idx val="344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80-5918-4A61-9771-4BDA5A6BC233}"/>
              </c:ext>
            </c:extLst>
          </c:dPt>
          <c:dPt>
            <c:idx val="345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82-5918-4A61-9771-4BDA5A6BC233}"/>
              </c:ext>
            </c:extLst>
          </c:dPt>
          <c:dPt>
            <c:idx val="346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84-5918-4A61-9771-4BDA5A6BC233}"/>
              </c:ext>
            </c:extLst>
          </c:dPt>
          <c:dPt>
            <c:idx val="347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86-5918-4A61-9771-4BDA5A6BC233}"/>
              </c:ext>
            </c:extLst>
          </c:dPt>
          <c:dPt>
            <c:idx val="348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88-5918-4A61-9771-4BDA5A6BC233}"/>
              </c:ext>
            </c:extLst>
          </c:dPt>
          <c:dPt>
            <c:idx val="349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8A-5918-4A61-9771-4BDA5A6BC233}"/>
              </c:ext>
            </c:extLst>
          </c:dPt>
          <c:dPt>
            <c:idx val="350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8C-5918-4A61-9771-4BDA5A6BC233}"/>
              </c:ext>
            </c:extLst>
          </c:dPt>
          <c:dPt>
            <c:idx val="351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8E-5918-4A61-9771-4BDA5A6BC233}"/>
              </c:ext>
            </c:extLst>
          </c:dPt>
          <c:dPt>
            <c:idx val="352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90-5918-4A61-9771-4BDA5A6BC233}"/>
              </c:ext>
            </c:extLst>
          </c:dPt>
          <c:dPt>
            <c:idx val="353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92-5918-4A61-9771-4BDA5A6BC233}"/>
              </c:ext>
            </c:extLst>
          </c:dPt>
          <c:dPt>
            <c:idx val="354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94-5918-4A61-9771-4BDA5A6BC233}"/>
              </c:ext>
            </c:extLst>
          </c:dPt>
          <c:dPt>
            <c:idx val="355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96-5918-4A61-9771-4BDA5A6BC233}"/>
              </c:ext>
            </c:extLst>
          </c:dPt>
          <c:dPt>
            <c:idx val="356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98-5918-4A61-9771-4BDA5A6BC233}"/>
              </c:ext>
            </c:extLst>
          </c:dPt>
          <c:dPt>
            <c:idx val="357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9A-5918-4A61-9771-4BDA5A6BC233}"/>
              </c:ext>
            </c:extLst>
          </c:dPt>
          <c:dPt>
            <c:idx val="358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9C-5918-4A61-9771-4BDA5A6BC233}"/>
              </c:ext>
            </c:extLst>
          </c:dPt>
          <c:dPt>
            <c:idx val="359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9E-5918-4A61-9771-4BDA5A6BC233}"/>
              </c:ext>
            </c:extLst>
          </c:dPt>
          <c:dPt>
            <c:idx val="360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A0-5918-4A61-9771-4BDA5A6BC233}"/>
              </c:ext>
            </c:extLst>
          </c:dPt>
          <c:dPt>
            <c:idx val="361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A2-5918-4A61-9771-4BDA5A6BC233}"/>
              </c:ext>
            </c:extLst>
          </c:dPt>
          <c:dPt>
            <c:idx val="362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A4-5918-4A61-9771-4BDA5A6BC233}"/>
              </c:ext>
            </c:extLst>
          </c:dPt>
          <c:dPt>
            <c:idx val="363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A6-5918-4A61-9771-4BDA5A6BC233}"/>
              </c:ext>
            </c:extLst>
          </c:dPt>
          <c:dPt>
            <c:idx val="364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A8-5918-4A61-9771-4BDA5A6BC233}"/>
              </c:ext>
            </c:extLst>
          </c:dPt>
          <c:dPt>
            <c:idx val="365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AA-5918-4A61-9771-4BDA5A6BC233}"/>
              </c:ext>
            </c:extLst>
          </c:dPt>
          <c:dPt>
            <c:idx val="366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AC-5918-4A61-9771-4BDA5A6BC233}"/>
              </c:ext>
            </c:extLst>
          </c:dPt>
          <c:dPt>
            <c:idx val="367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AE-5918-4A61-9771-4BDA5A6BC233}"/>
              </c:ext>
            </c:extLst>
          </c:dPt>
          <c:dPt>
            <c:idx val="368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B0-5918-4A61-9771-4BDA5A6BC233}"/>
              </c:ext>
            </c:extLst>
          </c:dPt>
          <c:dPt>
            <c:idx val="369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B2-5918-4A61-9771-4BDA5A6BC233}"/>
              </c:ext>
            </c:extLst>
          </c:dPt>
          <c:dPt>
            <c:idx val="370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B4-5918-4A61-9771-4BDA5A6BC233}"/>
              </c:ext>
            </c:extLst>
          </c:dPt>
          <c:dPt>
            <c:idx val="371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B6-5918-4A61-9771-4BDA5A6BC233}"/>
              </c:ext>
            </c:extLst>
          </c:dPt>
          <c:dPt>
            <c:idx val="372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B8-5918-4A61-9771-4BDA5A6BC233}"/>
              </c:ext>
            </c:extLst>
          </c:dPt>
          <c:dPt>
            <c:idx val="373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BA-5918-4A61-9771-4BDA5A6BC233}"/>
              </c:ext>
            </c:extLst>
          </c:dPt>
          <c:dPt>
            <c:idx val="374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BC-5918-4A61-9771-4BDA5A6BC233}"/>
              </c:ext>
            </c:extLst>
          </c:dPt>
          <c:dPt>
            <c:idx val="375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BE-5918-4A61-9771-4BDA5A6BC233}"/>
              </c:ext>
            </c:extLst>
          </c:dPt>
          <c:dPt>
            <c:idx val="376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C0-5918-4A61-9771-4BDA5A6BC233}"/>
              </c:ext>
            </c:extLst>
          </c:dPt>
          <c:dPt>
            <c:idx val="377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C2-5918-4A61-9771-4BDA5A6BC233}"/>
              </c:ext>
            </c:extLst>
          </c:dPt>
          <c:dPt>
            <c:idx val="378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C4-5918-4A61-9771-4BDA5A6BC233}"/>
              </c:ext>
            </c:extLst>
          </c:dPt>
          <c:dPt>
            <c:idx val="379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C6-5918-4A61-9771-4BDA5A6BC233}"/>
              </c:ext>
            </c:extLst>
          </c:dPt>
          <c:dPt>
            <c:idx val="380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C8-5918-4A61-9771-4BDA5A6BC233}"/>
              </c:ext>
            </c:extLst>
          </c:dPt>
          <c:dPt>
            <c:idx val="381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CA-5918-4A61-9771-4BDA5A6BC233}"/>
              </c:ext>
            </c:extLst>
          </c:dPt>
          <c:dPt>
            <c:idx val="382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CC-5918-4A61-9771-4BDA5A6BC233}"/>
              </c:ext>
            </c:extLst>
          </c:dPt>
          <c:dPt>
            <c:idx val="383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CE-5918-4A61-9771-4BDA5A6BC233}"/>
              </c:ext>
            </c:extLst>
          </c:dPt>
          <c:dPt>
            <c:idx val="384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D0-5918-4A61-9771-4BDA5A6BC233}"/>
              </c:ext>
            </c:extLst>
          </c:dPt>
          <c:dPt>
            <c:idx val="385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D2-5918-4A61-9771-4BDA5A6BC233}"/>
              </c:ext>
            </c:extLst>
          </c:dPt>
          <c:dPt>
            <c:idx val="386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D4-5918-4A61-9771-4BDA5A6BC233}"/>
              </c:ext>
            </c:extLst>
          </c:dPt>
          <c:dPt>
            <c:idx val="387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D6-5918-4A61-9771-4BDA5A6BC233}"/>
              </c:ext>
            </c:extLst>
          </c:dPt>
          <c:dPt>
            <c:idx val="388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D8-5918-4A61-9771-4BDA5A6BC233}"/>
              </c:ext>
            </c:extLst>
          </c:dPt>
          <c:dPt>
            <c:idx val="389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DA-5918-4A61-9771-4BDA5A6BC233}"/>
              </c:ext>
            </c:extLst>
          </c:dPt>
          <c:dPt>
            <c:idx val="390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DC-5918-4A61-9771-4BDA5A6BC233}"/>
              </c:ext>
            </c:extLst>
          </c:dPt>
          <c:dPt>
            <c:idx val="391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DE-5918-4A61-9771-4BDA5A6BC233}"/>
              </c:ext>
            </c:extLst>
          </c:dPt>
          <c:dPt>
            <c:idx val="392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E0-5918-4A61-9771-4BDA5A6BC233}"/>
              </c:ext>
            </c:extLst>
          </c:dPt>
          <c:dPt>
            <c:idx val="393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E2-5918-4A61-9771-4BDA5A6BC233}"/>
              </c:ext>
            </c:extLst>
          </c:dPt>
          <c:dPt>
            <c:idx val="394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E4-5918-4A61-9771-4BDA5A6BC233}"/>
              </c:ext>
            </c:extLst>
          </c:dPt>
          <c:dPt>
            <c:idx val="395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E6-5918-4A61-9771-4BDA5A6BC233}"/>
              </c:ext>
            </c:extLst>
          </c:dPt>
          <c:dPt>
            <c:idx val="396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E8-5918-4A61-9771-4BDA5A6BC233}"/>
              </c:ext>
            </c:extLst>
          </c:dPt>
          <c:dPt>
            <c:idx val="397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EA-5918-4A61-9771-4BDA5A6BC233}"/>
              </c:ext>
            </c:extLst>
          </c:dPt>
          <c:dPt>
            <c:idx val="398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EC-5918-4A61-9771-4BDA5A6BC233}"/>
              </c:ext>
            </c:extLst>
          </c:dPt>
          <c:dPt>
            <c:idx val="399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EE-5918-4A61-9771-4BDA5A6BC233}"/>
              </c:ext>
            </c:extLst>
          </c:dPt>
          <c:dPt>
            <c:idx val="400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F0-5918-4A61-9771-4BDA5A6BC233}"/>
              </c:ext>
            </c:extLst>
          </c:dPt>
          <c:dPt>
            <c:idx val="401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F2-5918-4A61-9771-4BDA5A6BC233}"/>
              </c:ext>
            </c:extLst>
          </c:dPt>
          <c:dPt>
            <c:idx val="402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F4-5918-4A61-9771-4BDA5A6BC233}"/>
              </c:ext>
            </c:extLst>
          </c:dPt>
          <c:dPt>
            <c:idx val="403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F6-5918-4A61-9771-4BDA5A6BC233}"/>
              </c:ext>
            </c:extLst>
          </c:dPt>
          <c:dPt>
            <c:idx val="404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F8-5918-4A61-9771-4BDA5A6BC233}"/>
              </c:ext>
            </c:extLst>
          </c:dPt>
          <c:dPt>
            <c:idx val="405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FA-5918-4A61-9771-4BDA5A6BC233}"/>
              </c:ext>
            </c:extLst>
          </c:dPt>
          <c:dPt>
            <c:idx val="406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FC-5918-4A61-9771-4BDA5A6BC233}"/>
              </c:ext>
            </c:extLst>
          </c:dPt>
          <c:dPt>
            <c:idx val="407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FE-5918-4A61-9771-4BDA5A6BC233}"/>
              </c:ext>
            </c:extLst>
          </c:dPt>
          <c:dPt>
            <c:idx val="408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00-5918-4A61-9771-4BDA5A6BC233}"/>
              </c:ext>
            </c:extLst>
          </c:dPt>
          <c:dPt>
            <c:idx val="409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02-5918-4A61-9771-4BDA5A6BC233}"/>
              </c:ext>
            </c:extLst>
          </c:dPt>
          <c:dPt>
            <c:idx val="410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04-5918-4A61-9771-4BDA5A6BC233}"/>
              </c:ext>
            </c:extLst>
          </c:dPt>
          <c:dPt>
            <c:idx val="411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06-5918-4A61-9771-4BDA5A6BC233}"/>
              </c:ext>
            </c:extLst>
          </c:dPt>
          <c:dPt>
            <c:idx val="412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08-5918-4A61-9771-4BDA5A6BC233}"/>
              </c:ext>
            </c:extLst>
          </c:dPt>
          <c:dPt>
            <c:idx val="413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0A-5918-4A61-9771-4BDA5A6BC233}"/>
              </c:ext>
            </c:extLst>
          </c:dPt>
          <c:dPt>
            <c:idx val="414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0C-5918-4A61-9771-4BDA5A6BC233}"/>
              </c:ext>
            </c:extLst>
          </c:dPt>
          <c:dPt>
            <c:idx val="415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0E-5918-4A61-9771-4BDA5A6BC233}"/>
              </c:ext>
            </c:extLst>
          </c:dPt>
          <c:dPt>
            <c:idx val="416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10-5918-4A61-9771-4BDA5A6BC233}"/>
              </c:ext>
            </c:extLst>
          </c:dPt>
          <c:dPt>
            <c:idx val="417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12-5918-4A61-9771-4BDA5A6BC233}"/>
              </c:ext>
            </c:extLst>
          </c:dPt>
          <c:dPt>
            <c:idx val="418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14-5918-4A61-9771-4BDA5A6BC233}"/>
              </c:ext>
            </c:extLst>
          </c:dPt>
          <c:dPt>
            <c:idx val="419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16-5918-4A61-9771-4BDA5A6BC233}"/>
              </c:ext>
            </c:extLst>
          </c:dPt>
          <c:dPt>
            <c:idx val="420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18-5918-4A61-9771-4BDA5A6BC233}"/>
              </c:ext>
            </c:extLst>
          </c:dPt>
          <c:dPt>
            <c:idx val="421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1A-5918-4A61-9771-4BDA5A6BC233}"/>
              </c:ext>
            </c:extLst>
          </c:dPt>
          <c:dPt>
            <c:idx val="422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1C-5918-4A61-9771-4BDA5A6BC233}"/>
              </c:ext>
            </c:extLst>
          </c:dPt>
          <c:dPt>
            <c:idx val="423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1E-5918-4A61-9771-4BDA5A6BC233}"/>
              </c:ext>
            </c:extLst>
          </c:dPt>
          <c:dPt>
            <c:idx val="424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20-5918-4A61-9771-4BDA5A6BC233}"/>
              </c:ext>
            </c:extLst>
          </c:dPt>
          <c:dPt>
            <c:idx val="425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22-5918-4A61-9771-4BDA5A6BC233}"/>
              </c:ext>
            </c:extLst>
          </c:dPt>
          <c:dPt>
            <c:idx val="426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24-5918-4A61-9771-4BDA5A6BC233}"/>
              </c:ext>
            </c:extLst>
          </c:dPt>
          <c:dPt>
            <c:idx val="427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26-5918-4A61-9771-4BDA5A6BC233}"/>
              </c:ext>
            </c:extLst>
          </c:dPt>
          <c:dPt>
            <c:idx val="428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28-5918-4A61-9771-4BDA5A6BC233}"/>
              </c:ext>
            </c:extLst>
          </c:dPt>
          <c:dPt>
            <c:idx val="429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2A-5918-4A61-9771-4BDA5A6BC233}"/>
              </c:ext>
            </c:extLst>
          </c:dPt>
          <c:dPt>
            <c:idx val="430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2C-5918-4A61-9771-4BDA5A6BC233}"/>
              </c:ext>
            </c:extLst>
          </c:dPt>
          <c:dPt>
            <c:idx val="431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2E-5918-4A61-9771-4BDA5A6BC233}"/>
              </c:ext>
            </c:extLst>
          </c:dPt>
          <c:dPt>
            <c:idx val="432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30-5918-4A61-9771-4BDA5A6BC233}"/>
              </c:ext>
            </c:extLst>
          </c:dPt>
          <c:dPt>
            <c:idx val="433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32-5918-4A61-9771-4BDA5A6BC233}"/>
              </c:ext>
            </c:extLst>
          </c:dPt>
          <c:dPt>
            <c:idx val="434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34-5918-4A61-9771-4BDA5A6BC233}"/>
              </c:ext>
            </c:extLst>
          </c:dPt>
          <c:dPt>
            <c:idx val="435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36-5918-4A61-9771-4BDA5A6BC233}"/>
              </c:ext>
            </c:extLst>
          </c:dPt>
          <c:dPt>
            <c:idx val="436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38-5918-4A61-9771-4BDA5A6BC233}"/>
              </c:ext>
            </c:extLst>
          </c:dPt>
          <c:dPt>
            <c:idx val="437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3A-5918-4A61-9771-4BDA5A6BC233}"/>
              </c:ext>
            </c:extLst>
          </c:dPt>
          <c:dPt>
            <c:idx val="438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3C-5918-4A61-9771-4BDA5A6BC233}"/>
              </c:ext>
            </c:extLst>
          </c:dPt>
          <c:dPt>
            <c:idx val="439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3E-5918-4A61-9771-4BDA5A6BC233}"/>
              </c:ext>
            </c:extLst>
          </c:dPt>
          <c:dPt>
            <c:idx val="440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40-5918-4A61-9771-4BDA5A6BC233}"/>
              </c:ext>
            </c:extLst>
          </c:dPt>
          <c:dPt>
            <c:idx val="441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42-5918-4A61-9771-4BDA5A6BC233}"/>
              </c:ext>
            </c:extLst>
          </c:dPt>
          <c:dPt>
            <c:idx val="442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44-5918-4A61-9771-4BDA5A6BC233}"/>
              </c:ext>
            </c:extLst>
          </c:dPt>
          <c:dPt>
            <c:idx val="443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46-5918-4A61-9771-4BDA5A6BC233}"/>
              </c:ext>
            </c:extLst>
          </c:dPt>
          <c:dPt>
            <c:idx val="444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48-5918-4A61-9771-4BDA5A6BC233}"/>
              </c:ext>
            </c:extLst>
          </c:dPt>
          <c:dPt>
            <c:idx val="445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4A-5918-4A61-9771-4BDA5A6BC233}"/>
              </c:ext>
            </c:extLst>
          </c:dPt>
          <c:dPt>
            <c:idx val="446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4C-5918-4A61-9771-4BDA5A6BC233}"/>
              </c:ext>
            </c:extLst>
          </c:dPt>
          <c:dPt>
            <c:idx val="447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4E-5918-4A61-9771-4BDA5A6BC233}"/>
              </c:ext>
            </c:extLst>
          </c:dPt>
          <c:dPt>
            <c:idx val="448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50-5918-4A61-9771-4BDA5A6BC233}"/>
              </c:ext>
            </c:extLst>
          </c:dPt>
          <c:dPt>
            <c:idx val="449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52-5918-4A61-9771-4BDA5A6BC233}"/>
              </c:ext>
            </c:extLst>
          </c:dPt>
          <c:dPt>
            <c:idx val="450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54-5918-4A61-9771-4BDA5A6BC233}"/>
              </c:ext>
            </c:extLst>
          </c:dPt>
          <c:dPt>
            <c:idx val="451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56-5918-4A61-9771-4BDA5A6BC233}"/>
              </c:ext>
            </c:extLst>
          </c:dPt>
          <c:dPt>
            <c:idx val="452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58-5918-4A61-9771-4BDA5A6BC233}"/>
              </c:ext>
            </c:extLst>
          </c:dPt>
          <c:dPt>
            <c:idx val="453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5A-5918-4A61-9771-4BDA5A6BC233}"/>
              </c:ext>
            </c:extLst>
          </c:dPt>
          <c:dPt>
            <c:idx val="454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5C-5918-4A61-9771-4BDA5A6BC233}"/>
              </c:ext>
            </c:extLst>
          </c:dPt>
          <c:dPt>
            <c:idx val="455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5E-5918-4A61-9771-4BDA5A6BC233}"/>
              </c:ext>
            </c:extLst>
          </c:dPt>
          <c:dPt>
            <c:idx val="456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60-5918-4A61-9771-4BDA5A6BC233}"/>
              </c:ext>
            </c:extLst>
          </c:dPt>
          <c:dPt>
            <c:idx val="457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62-5918-4A61-9771-4BDA5A6BC233}"/>
              </c:ext>
            </c:extLst>
          </c:dPt>
          <c:dPt>
            <c:idx val="458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64-5918-4A61-9771-4BDA5A6BC233}"/>
              </c:ext>
            </c:extLst>
          </c:dPt>
          <c:dPt>
            <c:idx val="459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66-5918-4A61-9771-4BDA5A6BC233}"/>
              </c:ext>
            </c:extLst>
          </c:dPt>
          <c:dPt>
            <c:idx val="460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68-5918-4A61-9771-4BDA5A6BC233}"/>
              </c:ext>
            </c:extLst>
          </c:dPt>
          <c:dPt>
            <c:idx val="461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6A-5918-4A61-9771-4BDA5A6BC233}"/>
              </c:ext>
            </c:extLst>
          </c:dPt>
          <c:dPt>
            <c:idx val="462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6C-5918-4A61-9771-4BDA5A6BC233}"/>
              </c:ext>
            </c:extLst>
          </c:dPt>
          <c:dPt>
            <c:idx val="463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6E-5918-4A61-9771-4BDA5A6BC233}"/>
              </c:ext>
            </c:extLst>
          </c:dPt>
          <c:dPt>
            <c:idx val="464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70-5918-4A61-9771-4BDA5A6BC233}"/>
              </c:ext>
            </c:extLst>
          </c:dPt>
          <c:dPt>
            <c:idx val="465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72-5918-4A61-9771-4BDA5A6BC233}"/>
              </c:ext>
            </c:extLst>
          </c:dPt>
          <c:dPt>
            <c:idx val="466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74-5918-4A61-9771-4BDA5A6BC233}"/>
              </c:ext>
            </c:extLst>
          </c:dPt>
          <c:dPt>
            <c:idx val="467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76-5918-4A61-9771-4BDA5A6BC233}"/>
              </c:ext>
            </c:extLst>
          </c:dPt>
          <c:dPt>
            <c:idx val="468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78-5918-4A61-9771-4BDA5A6BC233}"/>
              </c:ext>
            </c:extLst>
          </c:dPt>
          <c:dPt>
            <c:idx val="469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7A-5918-4A61-9771-4BDA5A6BC233}"/>
              </c:ext>
            </c:extLst>
          </c:dPt>
          <c:dPt>
            <c:idx val="470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7C-5918-4A61-9771-4BDA5A6BC233}"/>
              </c:ext>
            </c:extLst>
          </c:dPt>
          <c:dPt>
            <c:idx val="471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7E-5918-4A61-9771-4BDA5A6BC233}"/>
              </c:ext>
            </c:extLst>
          </c:dPt>
          <c:dPt>
            <c:idx val="472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80-5918-4A61-9771-4BDA5A6BC233}"/>
              </c:ext>
            </c:extLst>
          </c:dPt>
          <c:dPt>
            <c:idx val="473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82-5918-4A61-9771-4BDA5A6BC233}"/>
              </c:ext>
            </c:extLst>
          </c:dPt>
          <c:dPt>
            <c:idx val="474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84-5918-4A61-9771-4BDA5A6BC233}"/>
              </c:ext>
            </c:extLst>
          </c:dPt>
          <c:dPt>
            <c:idx val="475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86-5918-4A61-9771-4BDA5A6BC233}"/>
              </c:ext>
            </c:extLst>
          </c:dPt>
          <c:dPt>
            <c:idx val="476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88-5918-4A61-9771-4BDA5A6BC233}"/>
              </c:ext>
            </c:extLst>
          </c:dPt>
          <c:dPt>
            <c:idx val="477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8A-5918-4A61-9771-4BDA5A6BC233}"/>
              </c:ext>
            </c:extLst>
          </c:dPt>
          <c:dPt>
            <c:idx val="478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8C-5918-4A61-9771-4BDA5A6BC233}"/>
              </c:ext>
            </c:extLst>
          </c:dPt>
          <c:dPt>
            <c:idx val="479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8E-5918-4A61-9771-4BDA5A6BC233}"/>
              </c:ext>
            </c:extLst>
          </c:dPt>
          <c:dPt>
            <c:idx val="480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90-5918-4A61-9771-4BDA5A6BC233}"/>
              </c:ext>
            </c:extLst>
          </c:dPt>
          <c:dPt>
            <c:idx val="481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92-5918-4A61-9771-4BDA5A6BC233}"/>
              </c:ext>
            </c:extLst>
          </c:dPt>
          <c:dPt>
            <c:idx val="482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94-5918-4A61-9771-4BDA5A6BC233}"/>
              </c:ext>
            </c:extLst>
          </c:dPt>
          <c:dPt>
            <c:idx val="483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96-5918-4A61-9771-4BDA5A6BC233}"/>
              </c:ext>
            </c:extLst>
          </c:dPt>
          <c:dPt>
            <c:idx val="484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98-5918-4A61-9771-4BDA5A6BC233}"/>
              </c:ext>
            </c:extLst>
          </c:dPt>
          <c:dPt>
            <c:idx val="485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9A-5918-4A61-9771-4BDA5A6BC233}"/>
              </c:ext>
            </c:extLst>
          </c:dPt>
          <c:dPt>
            <c:idx val="486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9C-5918-4A61-9771-4BDA5A6BC233}"/>
              </c:ext>
            </c:extLst>
          </c:dPt>
          <c:dPt>
            <c:idx val="487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9E-5918-4A61-9771-4BDA5A6BC233}"/>
              </c:ext>
            </c:extLst>
          </c:dPt>
          <c:dPt>
            <c:idx val="488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A0-5918-4A61-9771-4BDA5A6BC233}"/>
              </c:ext>
            </c:extLst>
          </c:dPt>
          <c:dPt>
            <c:idx val="489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A2-5918-4A61-9771-4BDA5A6BC233}"/>
              </c:ext>
            </c:extLst>
          </c:dPt>
          <c:dPt>
            <c:idx val="490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A4-5918-4A61-9771-4BDA5A6BC233}"/>
              </c:ext>
            </c:extLst>
          </c:dPt>
          <c:dPt>
            <c:idx val="491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A6-5918-4A61-9771-4BDA5A6BC233}"/>
              </c:ext>
            </c:extLst>
          </c:dPt>
          <c:dPt>
            <c:idx val="492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A8-5918-4A61-9771-4BDA5A6BC233}"/>
              </c:ext>
            </c:extLst>
          </c:dPt>
          <c:dPt>
            <c:idx val="493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AA-5918-4A61-9771-4BDA5A6BC233}"/>
              </c:ext>
            </c:extLst>
          </c:dPt>
          <c:dPt>
            <c:idx val="494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AC-5918-4A61-9771-4BDA5A6BC233}"/>
              </c:ext>
            </c:extLst>
          </c:dPt>
          <c:dPt>
            <c:idx val="495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AE-5918-4A61-9771-4BDA5A6BC233}"/>
              </c:ext>
            </c:extLst>
          </c:dPt>
          <c:dPt>
            <c:idx val="496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B0-5918-4A61-9771-4BDA5A6BC233}"/>
              </c:ext>
            </c:extLst>
          </c:dPt>
          <c:dPt>
            <c:idx val="497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B2-5918-4A61-9771-4BDA5A6BC233}"/>
              </c:ext>
            </c:extLst>
          </c:dPt>
          <c:dPt>
            <c:idx val="498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B4-5918-4A61-9771-4BDA5A6BC233}"/>
              </c:ext>
            </c:extLst>
          </c:dPt>
          <c:dPt>
            <c:idx val="499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B6-5918-4A61-9771-4BDA5A6BC233}"/>
              </c:ext>
            </c:extLst>
          </c:dPt>
          <c:dPt>
            <c:idx val="500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B8-5918-4A61-9771-4BDA5A6BC233}"/>
              </c:ext>
            </c:extLst>
          </c:dPt>
          <c:dPt>
            <c:idx val="501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BA-5918-4A61-9771-4BDA5A6BC233}"/>
              </c:ext>
            </c:extLst>
          </c:dPt>
          <c:dPt>
            <c:idx val="502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BC-5918-4A61-9771-4BDA5A6BC233}"/>
              </c:ext>
            </c:extLst>
          </c:dPt>
          <c:dPt>
            <c:idx val="503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BE-5918-4A61-9771-4BDA5A6BC233}"/>
              </c:ext>
            </c:extLst>
          </c:dPt>
          <c:dPt>
            <c:idx val="504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C0-5918-4A61-9771-4BDA5A6BC233}"/>
              </c:ext>
            </c:extLst>
          </c:dPt>
          <c:dPt>
            <c:idx val="505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C2-5918-4A61-9771-4BDA5A6BC233}"/>
              </c:ext>
            </c:extLst>
          </c:dPt>
          <c:dPt>
            <c:idx val="506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C4-5918-4A61-9771-4BDA5A6BC233}"/>
              </c:ext>
            </c:extLst>
          </c:dPt>
          <c:dPt>
            <c:idx val="507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C6-5918-4A61-9771-4BDA5A6BC233}"/>
              </c:ext>
            </c:extLst>
          </c:dPt>
          <c:dPt>
            <c:idx val="508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C8-5918-4A61-9771-4BDA5A6BC233}"/>
              </c:ext>
            </c:extLst>
          </c:dPt>
          <c:dPt>
            <c:idx val="509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CA-5918-4A61-9771-4BDA5A6BC233}"/>
              </c:ext>
            </c:extLst>
          </c:dPt>
          <c:dPt>
            <c:idx val="510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CC-5918-4A61-9771-4BDA5A6BC233}"/>
              </c:ext>
            </c:extLst>
          </c:dPt>
          <c:dPt>
            <c:idx val="511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CE-5918-4A61-9771-4BDA5A6BC233}"/>
              </c:ext>
            </c:extLst>
          </c:dPt>
          <c:dPt>
            <c:idx val="512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D0-5918-4A61-9771-4BDA5A6BC233}"/>
              </c:ext>
            </c:extLst>
          </c:dPt>
          <c:dPt>
            <c:idx val="513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D2-5918-4A61-9771-4BDA5A6BC233}"/>
              </c:ext>
            </c:extLst>
          </c:dPt>
          <c:dPt>
            <c:idx val="514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D4-5918-4A61-9771-4BDA5A6BC233}"/>
              </c:ext>
            </c:extLst>
          </c:dPt>
          <c:dPt>
            <c:idx val="515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D6-5918-4A61-9771-4BDA5A6BC233}"/>
              </c:ext>
            </c:extLst>
          </c:dPt>
          <c:dPt>
            <c:idx val="516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D8-5918-4A61-9771-4BDA5A6BC233}"/>
              </c:ext>
            </c:extLst>
          </c:dPt>
          <c:dPt>
            <c:idx val="517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DA-5918-4A61-9771-4BDA5A6BC233}"/>
              </c:ext>
            </c:extLst>
          </c:dPt>
          <c:dPt>
            <c:idx val="518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DC-5918-4A61-9771-4BDA5A6BC233}"/>
              </c:ext>
            </c:extLst>
          </c:dPt>
          <c:dPt>
            <c:idx val="519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DE-5918-4A61-9771-4BDA5A6BC233}"/>
              </c:ext>
            </c:extLst>
          </c:dPt>
          <c:dPt>
            <c:idx val="520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E0-5918-4A61-9771-4BDA5A6BC233}"/>
              </c:ext>
            </c:extLst>
          </c:dPt>
          <c:dPt>
            <c:idx val="521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E2-5918-4A61-9771-4BDA5A6BC233}"/>
              </c:ext>
            </c:extLst>
          </c:dPt>
          <c:dPt>
            <c:idx val="522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E4-5918-4A61-9771-4BDA5A6BC233}"/>
              </c:ext>
            </c:extLst>
          </c:dPt>
          <c:dPt>
            <c:idx val="523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E6-5918-4A61-9771-4BDA5A6BC233}"/>
              </c:ext>
            </c:extLst>
          </c:dPt>
          <c:dPt>
            <c:idx val="524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E8-5918-4A61-9771-4BDA5A6BC233}"/>
              </c:ext>
            </c:extLst>
          </c:dPt>
          <c:dPt>
            <c:idx val="525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EA-5918-4A61-9771-4BDA5A6BC233}"/>
              </c:ext>
            </c:extLst>
          </c:dPt>
          <c:dPt>
            <c:idx val="526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EC-5918-4A61-9771-4BDA5A6BC233}"/>
              </c:ext>
            </c:extLst>
          </c:dPt>
          <c:dPt>
            <c:idx val="527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EE-5918-4A61-9771-4BDA5A6BC233}"/>
              </c:ext>
            </c:extLst>
          </c:dPt>
          <c:dPt>
            <c:idx val="528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F0-5918-4A61-9771-4BDA5A6BC233}"/>
              </c:ext>
            </c:extLst>
          </c:dPt>
          <c:dPt>
            <c:idx val="529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F2-5918-4A61-9771-4BDA5A6BC233}"/>
              </c:ext>
            </c:extLst>
          </c:dPt>
          <c:dPt>
            <c:idx val="530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F4-5918-4A61-9771-4BDA5A6BC233}"/>
              </c:ext>
            </c:extLst>
          </c:dPt>
          <c:dPt>
            <c:idx val="531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F6-5918-4A61-9771-4BDA5A6BC233}"/>
              </c:ext>
            </c:extLst>
          </c:dPt>
          <c:dPt>
            <c:idx val="532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F8-5918-4A61-9771-4BDA5A6BC233}"/>
              </c:ext>
            </c:extLst>
          </c:dPt>
          <c:dPt>
            <c:idx val="533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FA-5918-4A61-9771-4BDA5A6BC233}"/>
              </c:ext>
            </c:extLst>
          </c:dPt>
          <c:dPt>
            <c:idx val="534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FC-5918-4A61-9771-4BDA5A6BC233}"/>
              </c:ext>
            </c:extLst>
          </c:dPt>
          <c:dPt>
            <c:idx val="535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FE-5918-4A61-9771-4BDA5A6BC233}"/>
              </c:ext>
            </c:extLst>
          </c:dPt>
          <c:dPt>
            <c:idx val="536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00-5918-4A61-9771-4BDA5A6BC233}"/>
              </c:ext>
            </c:extLst>
          </c:dPt>
          <c:dPt>
            <c:idx val="537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02-5918-4A61-9771-4BDA5A6BC233}"/>
              </c:ext>
            </c:extLst>
          </c:dPt>
          <c:dPt>
            <c:idx val="538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04-5918-4A61-9771-4BDA5A6BC233}"/>
              </c:ext>
            </c:extLst>
          </c:dPt>
          <c:dPt>
            <c:idx val="539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06-5918-4A61-9771-4BDA5A6BC233}"/>
              </c:ext>
            </c:extLst>
          </c:dPt>
          <c:dPt>
            <c:idx val="54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08-5918-4A61-9771-4BDA5A6BC233}"/>
              </c:ext>
            </c:extLst>
          </c:dPt>
          <c:dPt>
            <c:idx val="54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0A-5918-4A61-9771-4BDA5A6BC233}"/>
              </c:ext>
            </c:extLst>
          </c:dPt>
          <c:dPt>
            <c:idx val="54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0C-5918-4A61-9771-4BDA5A6BC233}"/>
              </c:ext>
            </c:extLst>
          </c:dPt>
          <c:dPt>
            <c:idx val="54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0E-5918-4A61-9771-4BDA5A6BC233}"/>
              </c:ext>
            </c:extLst>
          </c:dPt>
          <c:dPt>
            <c:idx val="54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10-5918-4A61-9771-4BDA5A6BC233}"/>
              </c:ext>
            </c:extLst>
          </c:dPt>
          <c:dPt>
            <c:idx val="54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12-5918-4A61-9771-4BDA5A6BC233}"/>
              </c:ext>
            </c:extLst>
          </c:dPt>
          <c:dPt>
            <c:idx val="54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14-5918-4A61-9771-4BDA5A6BC233}"/>
              </c:ext>
            </c:extLst>
          </c:dPt>
          <c:dPt>
            <c:idx val="547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16-5918-4A61-9771-4BDA5A6BC233}"/>
              </c:ext>
            </c:extLst>
          </c:dPt>
          <c:dPt>
            <c:idx val="548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18-5918-4A61-9771-4BDA5A6BC233}"/>
              </c:ext>
            </c:extLst>
          </c:dPt>
          <c:dPt>
            <c:idx val="549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1A-5918-4A61-9771-4BDA5A6BC233}"/>
              </c:ext>
            </c:extLst>
          </c:dPt>
          <c:dPt>
            <c:idx val="550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1C-5918-4A61-9771-4BDA5A6BC233}"/>
              </c:ext>
            </c:extLst>
          </c:dPt>
          <c:dPt>
            <c:idx val="551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1E-5918-4A61-9771-4BDA5A6BC233}"/>
              </c:ext>
            </c:extLst>
          </c:dPt>
          <c:dPt>
            <c:idx val="55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20-5918-4A61-9771-4BDA5A6BC233}"/>
              </c:ext>
            </c:extLst>
          </c:dPt>
          <c:dPt>
            <c:idx val="55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22-5918-4A61-9771-4BDA5A6BC233}"/>
              </c:ext>
            </c:extLst>
          </c:dPt>
          <c:dPt>
            <c:idx val="55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24-5918-4A61-9771-4BDA5A6BC233}"/>
              </c:ext>
            </c:extLst>
          </c:dPt>
          <c:dPt>
            <c:idx val="55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26-5918-4A61-9771-4BDA5A6BC233}"/>
              </c:ext>
            </c:extLst>
          </c:dPt>
          <c:dPt>
            <c:idx val="55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28-5918-4A61-9771-4BDA5A6BC233}"/>
              </c:ext>
            </c:extLst>
          </c:dPt>
          <c:dPt>
            <c:idx val="55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2A-5918-4A61-9771-4BDA5A6BC233}"/>
              </c:ext>
            </c:extLst>
          </c:dPt>
          <c:dPt>
            <c:idx val="558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2C-5918-4A61-9771-4BDA5A6BC233}"/>
              </c:ext>
            </c:extLst>
          </c:dPt>
          <c:dPt>
            <c:idx val="559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2E-5918-4A61-9771-4BDA5A6BC233}"/>
              </c:ext>
            </c:extLst>
          </c:dPt>
          <c:dPt>
            <c:idx val="560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30-5918-4A61-9771-4BDA5A6BC233}"/>
              </c:ext>
            </c:extLst>
          </c:dPt>
          <c:dPt>
            <c:idx val="561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32-5918-4A61-9771-4BDA5A6BC233}"/>
              </c:ext>
            </c:extLst>
          </c:dPt>
          <c:dPt>
            <c:idx val="562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34-5918-4A61-9771-4BDA5A6BC233}"/>
              </c:ext>
            </c:extLst>
          </c:dPt>
          <c:dPt>
            <c:idx val="563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36-5918-4A61-9771-4BDA5A6BC233}"/>
              </c:ext>
            </c:extLst>
          </c:dPt>
          <c:dPt>
            <c:idx val="56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38-5918-4A61-9771-4BDA5A6BC233}"/>
              </c:ext>
            </c:extLst>
          </c:dPt>
          <c:dPt>
            <c:idx val="56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3A-5918-4A61-9771-4BDA5A6BC233}"/>
              </c:ext>
            </c:extLst>
          </c:dPt>
          <c:dPt>
            <c:idx val="56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3C-5918-4A61-9771-4BDA5A6BC233}"/>
              </c:ext>
            </c:extLst>
          </c:dPt>
          <c:dPt>
            <c:idx val="56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3E-5918-4A61-9771-4BDA5A6BC233}"/>
              </c:ext>
            </c:extLst>
          </c:dPt>
          <c:dPt>
            <c:idx val="568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40-5918-4A61-9771-4BDA5A6BC233}"/>
              </c:ext>
            </c:extLst>
          </c:dPt>
          <c:dPt>
            <c:idx val="569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42-5918-4A61-9771-4BDA5A6BC233}"/>
              </c:ext>
            </c:extLst>
          </c:dPt>
          <c:dPt>
            <c:idx val="570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44-5918-4A61-9771-4BDA5A6BC233}"/>
              </c:ext>
            </c:extLst>
          </c:dPt>
          <c:dPt>
            <c:idx val="571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46-5918-4A61-9771-4BDA5A6BC233}"/>
              </c:ext>
            </c:extLst>
          </c:dPt>
          <c:dPt>
            <c:idx val="572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48-5918-4A61-9771-4BDA5A6BC233}"/>
              </c:ext>
            </c:extLst>
          </c:dPt>
          <c:dPt>
            <c:idx val="573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4A-5918-4A61-9771-4BDA5A6BC233}"/>
              </c:ext>
            </c:extLst>
          </c:dPt>
          <c:dPt>
            <c:idx val="574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4C-5918-4A61-9771-4BDA5A6BC233}"/>
              </c:ext>
            </c:extLst>
          </c:dPt>
          <c:dPt>
            <c:idx val="575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4E-5918-4A61-9771-4BDA5A6BC233}"/>
              </c:ext>
            </c:extLst>
          </c:dPt>
          <c:dPt>
            <c:idx val="576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50-5918-4A61-9771-4BDA5A6BC233}"/>
              </c:ext>
            </c:extLst>
          </c:dPt>
          <c:dPt>
            <c:idx val="577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52-5918-4A61-9771-4BDA5A6BC233}"/>
              </c:ext>
            </c:extLst>
          </c:dPt>
          <c:dPt>
            <c:idx val="578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54-5918-4A61-9771-4BDA5A6BC233}"/>
              </c:ext>
            </c:extLst>
          </c:dPt>
          <c:dPt>
            <c:idx val="579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56-5918-4A61-9771-4BDA5A6BC233}"/>
              </c:ext>
            </c:extLst>
          </c:dPt>
          <c:dPt>
            <c:idx val="580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58-5918-4A61-9771-4BDA5A6BC233}"/>
              </c:ext>
            </c:extLst>
          </c:dPt>
          <c:dPt>
            <c:idx val="581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5A-5918-4A61-9771-4BDA5A6BC233}"/>
              </c:ext>
            </c:extLst>
          </c:dPt>
          <c:dPt>
            <c:idx val="582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5C-5918-4A61-9771-4BDA5A6BC233}"/>
              </c:ext>
            </c:extLst>
          </c:dPt>
          <c:dPt>
            <c:idx val="583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5E-5918-4A61-9771-4BDA5A6BC233}"/>
              </c:ext>
            </c:extLst>
          </c:dPt>
          <c:dPt>
            <c:idx val="584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60-5918-4A61-9771-4BDA5A6BC233}"/>
              </c:ext>
            </c:extLst>
          </c:dPt>
          <c:dPt>
            <c:idx val="585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62-5918-4A61-9771-4BDA5A6BC233}"/>
              </c:ext>
            </c:extLst>
          </c:dPt>
          <c:dPt>
            <c:idx val="586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64-5918-4A61-9771-4BDA5A6BC233}"/>
              </c:ext>
            </c:extLst>
          </c:dPt>
          <c:dPt>
            <c:idx val="587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66-5918-4A61-9771-4BDA5A6BC233}"/>
              </c:ext>
            </c:extLst>
          </c:dPt>
          <c:dPt>
            <c:idx val="588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68-5918-4A61-9771-4BDA5A6BC233}"/>
              </c:ext>
            </c:extLst>
          </c:dPt>
          <c:dPt>
            <c:idx val="589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6A-5918-4A61-9771-4BDA5A6BC233}"/>
              </c:ext>
            </c:extLst>
          </c:dPt>
          <c:dPt>
            <c:idx val="590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6C-5918-4A61-9771-4BDA5A6BC233}"/>
              </c:ext>
            </c:extLst>
          </c:dPt>
          <c:dPt>
            <c:idx val="591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6E-5918-4A61-9771-4BDA5A6BC233}"/>
              </c:ext>
            </c:extLst>
          </c:dPt>
          <c:dPt>
            <c:idx val="592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70-5918-4A61-9771-4BDA5A6BC233}"/>
              </c:ext>
            </c:extLst>
          </c:dPt>
          <c:dPt>
            <c:idx val="593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72-5918-4A61-9771-4BDA5A6BC233}"/>
              </c:ext>
            </c:extLst>
          </c:dPt>
          <c:dPt>
            <c:idx val="594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74-5918-4A61-9771-4BDA5A6BC233}"/>
              </c:ext>
            </c:extLst>
          </c:dPt>
          <c:dPt>
            <c:idx val="595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76-5918-4A61-9771-4BDA5A6BC233}"/>
              </c:ext>
            </c:extLst>
          </c:dPt>
          <c:dPt>
            <c:idx val="596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78-5918-4A61-9771-4BDA5A6BC233}"/>
              </c:ext>
            </c:extLst>
          </c:dPt>
          <c:dPt>
            <c:idx val="597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7A-5918-4A61-9771-4BDA5A6BC233}"/>
              </c:ext>
            </c:extLst>
          </c:dPt>
          <c:dPt>
            <c:idx val="598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7C-5918-4A61-9771-4BDA5A6BC233}"/>
              </c:ext>
            </c:extLst>
          </c:dPt>
          <c:dPt>
            <c:idx val="599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7E-5918-4A61-9771-4BDA5A6BC233}"/>
              </c:ext>
            </c:extLst>
          </c:dPt>
          <c:dPt>
            <c:idx val="600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80-5918-4A61-9771-4BDA5A6BC233}"/>
              </c:ext>
            </c:extLst>
          </c:dPt>
          <c:dPt>
            <c:idx val="601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82-5918-4A61-9771-4BDA5A6BC233}"/>
              </c:ext>
            </c:extLst>
          </c:dPt>
          <c:dPt>
            <c:idx val="602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84-5918-4A61-9771-4BDA5A6BC233}"/>
              </c:ext>
            </c:extLst>
          </c:dPt>
          <c:dPt>
            <c:idx val="603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86-5918-4A61-9771-4BDA5A6BC233}"/>
              </c:ext>
            </c:extLst>
          </c:dPt>
          <c:dPt>
            <c:idx val="604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88-5918-4A61-9771-4BDA5A6BC233}"/>
              </c:ext>
            </c:extLst>
          </c:dPt>
          <c:dPt>
            <c:idx val="605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8A-5918-4A61-9771-4BDA5A6BC233}"/>
              </c:ext>
            </c:extLst>
          </c:dPt>
          <c:dPt>
            <c:idx val="606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8C-5918-4A61-9771-4BDA5A6BC233}"/>
              </c:ext>
            </c:extLst>
          </c:dPt>
          <c:dPt>
            <c:idx val="607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8E-5918-4A61-9771-4BDA5A6BC233}"/>
              </c:ext>
            </c:extLst>
          </c:dPt>
          <c:dPt>
            <c:idx val="608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90-5918-4A61-9771-4BDA5A6BC233}"/>
              </c:ext>
            </c:extLst>
          </c:dPt>
          <c:dPt>
            <c:idx val="609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92-5918-4A61-9771-4BDA5A6BC233}"/>
              </c:ext>
            </c:extLst>
          </c:dPt>
          <c:dPt>
            <c:idx val="610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94-5918-4A61-9771-4BDA5A6BC233}"/>
              </c:ext>
            </c:extLst>
          </c:dPt>
          <c:dPt>
            <c:idx val="611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96-5918-4A61-9771-4BDA5A6BC233}"/>
              </c:ext>
            </c:extLst>
          </c:dPt>
          <c:dPt>
            <c:idx val="612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98-5918-4A61-9771-4BDA5A6BC233}"/>
              </c:ext>
            </c:extLst>
          </c:dPt>
          <c:dPt>
            <c:idx val="613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9A-5918-4A61-9771-4BDA5A6BC233}"/>
              </c:ext>
            </c:extLst>
          </c:dPt>
          <c:dPt>
            <c:idx val="614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9C-5918-4A61-9771-4BDA5A6BC233}"/>
              </c:ext>
            </c:extLst>
          </c:dPt>
          <c:dPt>
            <c:idx val="615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9E-5918-4A61-9771-4BDA5A6BC233}"/>
              </c:ext>
            </c:extLst>
          </c:dPt>
          <c:dPt>
            <c:idx val="616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A0-5918-4A61-9771-4BDA5A6BC233}"/>
              </c:ext>
            </c:extLst>
          </c:dPt>
          <c:dPt>
            <c:idx val="617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A2-5918-4A61-9771-4BDA5A6BC233}"/>
              </c:ext>
            </c:extLst>
          </c:dPt>
          <c:dPt>
            <c:idx val="618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A4-5918-4A61-9771-4BDA5A6BC233}"/>
              </c:ext>
            </c:extLst>
          </c:dPt>
          <c:dPt>
            <c:idx val="619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A6-5918-4A61-9771-4BDA5A6BC233}"/>
              </c:ext>
            </c:extLst>
          </c:dPt>
          <c:dPt>
            <c:idx val="620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A8-5918-4A61-9771-4BDA5A6BC233}"/>
              </c:ext>
            </c:extLst>
          </c:dPt>
          <c:dPt>
            <c:idx val="621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AA-5918-4A61-9771-4BDA5A6BC233}"/>
              </c:ext>
            </c:extLst>
          </c:dPt>
          <c:dPt>
            <c:idx val="622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AC-5918-4A61-9771-4BDA5A6BC233}"/>
              </c:ext>
            </c:extLst>
          </c:dPt>
          <c:dPt>
            <c:idx val="623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AE-5918-4A61-9771-4BDA5A6BC233}"/>
              </c:ext>
            </c:extLst>
          </c:dPt>
          <c:dPt>
            <c:idx val="624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B0-5918-4A61-9771-4BDA5A6BC233}"/>
              </c:ext>
            </c:extLst>
          </c:dPt>
          <c:dPt>
            <c:idx val="625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B2-5918-4A61-9771-4BDA5A6BC233}"/>
              </c:ext>
            </c:extLst>
          </c:dPt>
          <c:dPt>
            <c:idx val="626"/>
            <c:bubble3D val="0"/>
            <c:spPr>
              <a:solidFill>
                <a:srgbClr val="92D050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B4-5918-4A61-9771-4BDA5A6BC233}"/>
              </c:ext>
            </c:extLst>
          </c:dPt>
          <c:dPt>
            <c:idx val="627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B6-5918-4A61-9771-4BDA5A6BC233}"/>
              </c:ext>
            </c:extLst>
          </c:dPt>
          <c:dPt>
            <c:idx val="628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B8-5918-4A61-9771-4BDA5A6BC233}"/>
              </c:ext>
            </c:extLst>
          </c:dPt>
          <c:dPt>
            <c:idx val="629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BA-5918-4A61-9771-4BDA5A6BC233}"/>
              </c:ext>
            </c:extLst>
          </c:dPt>
          <c:dPt>
            <c:idx val="630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BC-5918-4A61-9771-4BDA5A6BC233}"/>
              </c:ext>
            </c:extLst>
          </c:dPt>
          <c:dPt>
            <c:idx val="631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BE-5918-4A61-9771-4BDA5A6BC233}"/>
              </c:ext>
            </c:extLst>
          </c:dPt>
          <c:dPt>
            <c:idx val="632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C0-5918-4A61-9771-4BDA5A6BC233}"/>
              </c:ext>
            </c:extLst>
          </c:dPt>
          <c:dPt>
            <c:idx val="633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C2-5918-4A61-9771-4BDA5A6BC233}"/>
              </c:ext>
            </c:extLst>
          </c:dPt>
          <c:dPt>
            <c:idx val="634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C4-5918-4A61-9771-4BDA5A6BC233}"/>
              </c:ext>
            </c:extLst>
          </c:dPt>
          <c:dPt>
            <c:idx val="635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C6-5918-4A61-9771-4BDA5A6BC233}"/>
              </c:ext>
            </c:extLst>
          </c:dPt>
          <c:dPt>
            <c:idx val="636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C8-5918-4A61-9771-4BDA5A6BC233}"/>
              </c:ext>
            </c:extLst>
          </c:dPt>
          <c:dPt>
            <c:idx val="637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CA-5918-4A61-9771-4BDA5A6BC233}"/>
              </c:ext>
            </c:extLst>
          </c:dPt>
          <c:dPt>
            <c:idx val="638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CC-5918-4A61-9771-4BDA5A6BC233}"/>
              </c:ext>
            </c:extLst>
          </c:dPt>
          <c:dPt>
            <c:idx val="639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CE-5918-4A61-9771-4BDA5A6BC233}"/>
              </c:ext>
            </c:extLst>
          </c:dPt>
          <c:dPt>
            <c:idx val="640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D0-5918-4A61-9771-4BDA5A6BC233}"/>
              </c:ext>
            </c:extLst>
          </c:dPt>
          <c:dPt>
            <c:idx val="641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D2-5918-4A61-9771-4BDA5A6BC233}"/>
              </c:ext>
            </c:extLst>
          </c:dPt>
          <c:dPt>
            <c:idx val="642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D4-5918-4A61-9771-4BDA5A6BC233}"/>
              </c:ext>
            </c:extLst>
          </c:dPt>
          <c:dPt>
            <c:idx val="643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D6-5918-4A61-9771-4BDA5A6BC233}"/>
              </c:ext>
            </c:extLst>
          </c:dPt>
          <c:dPt>
            <c:idx val="644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D8-5918-4A61-9771-4BDA5A6BC233}"/>
              </c:ext>
            </c:extLst>
          </c:dPt>
          <c:dPt>
            <c:idx val="645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DA-5918-4A61-9771-4BDA5A6BC233}"/>
              </c:ext>
            </c:extLst>
          </c:dPt>
          <c:dPt>
            <c:idx val="646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DC-5918-4A61-9771-4BDA5A6BC233}"/>
              </c:ext>
            </c:extLst>
          </c:dPt>
          <c:dPt>
            <c:idx val="647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DE-5918-4A61-9771-4BDA5A6BC233}"/>
              </c:ext>
            </c:extLst>
          </c:dPt>
          <c:dPt>
            <c:idx val="648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E0-5918-4A61-9771-4BDA5A6BC233}"/>
              </c:ext>
            </c:extLst>
          </c:dPt>
          <c:dPt>
            <c:idx val="649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E2-5918-4A61-9771-4BDA5A6BC233}"/>
              </c:ext>
            </c:extLst>
          </c:dPt>
          <c:dPt>
            <c:idx val="650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E4-5918-4A61-9771-4BDA5A6BC233}"/>
              </c:ext>
            </c:extLst>
          </c:dPt>
          <c:dPt>
            <c:idx val="651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E6-5918-4A61-9771-4BDA5A6BC233}"/>
              </c:ext>
            </c:extLst>
          </c:dPt>
          <c:dPt>
            <c:idx val="652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E8-5918-4A61-9771-4BDA5A6BC233}"/>
              </c:ext>
            </c:extLst>
          </c:dPt>
          <c:dPt>
            <c:idx val="653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EA-5918-4A61-9771-4BDA5A6BC233}"/>
              </c:ext>
            </c:extLst>
          </c:dPt>
          <c:dPt>
            <c:idx val="654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EC-5918-4A61-9771-4BDA5A6BC233}"/>
              </c:ext>
            </c:extLst>
          </c:dPt>
          <c:dPt>
            <c:idx val="655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EE-5918-4A61-9771-4BDA5A6BC233}"/>
              </c:ext>
            </c:extLst>
          </c:dPt>
          <c:dPt>
            <c:idx val="656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F0-5918-4A61-9771-4BDA5A6BC233}"/>
              </c:ext>
            </c:extLst>
          </c:dPt>
          <c:dPt>
            <c:idx val="657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F2-5918-4A61-9771-4BDA5A6BC233}"/>
              </c:ext>
            </c:extLst>
          </c:dPt>
          <c:dPt>
            <c:idx val="658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F4-5918-4A61-9771-4BDA5A6BC233}"/>
              </c:ext>
            </c:extLst>
          </c:dPt>
          <c:dPt>
            <c:idx val="659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F6-5918-4A61-9771-4BDA5A6BC233}"/>
              </c:ext>
            </c:extLst>
          </c:dPt>
          <c:dPt>
            <c:idx val="660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F8-5918-4A61-9771-4BDA5A6BC233}"/>
              </c:ext>
            </c:extLst>
          </c:dPt>
          <c:dPt>
            <c:idx val="661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FA-5918-4A61-9771-4BDA5A6BC233}"/>
              </c:ext>
            </c:extLst>
          </c:dPt>
          <c:dPt>
            <c:idx val="662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FC-5918-4A61-9771-4BDA5A6BC233}"/>
              </c:ext>
            </c:extLst>
          </c:dPt>
          <c:dPt>
            <c:idx val="663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FE-5918-4A61-9771-4BDA5A6BC233}"/>
              </c:ext>
            </c:extLst>
          </c:dPt>
          <c:dPt>
            <c:idx val="664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00-5918-4A61-9771-4BDA5A6BC233}"/>
              </c:ext>
            </c:extLst>
          </c:dPt>
          <c:dPt>
            <c:idx val="665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02-5918-4A61-9771-4BDA5A6BC233}"/>
              </c:ext>
            </c:extLst>
          </c:dPt>
          <c:dPt>
            <c:idx val="666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04-5918-4A61-9771-4BDA5A6BC233}"/>
              </c:ext>
            </c:extLst>
          </c:dPt>
          <c:dPt>
            <c:idx val="667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06-5918-4A61-9771-4BDA5A6BC233}"/>
              </c:ext>
            </c:extLst>
          </c:dPt>
          <c:dPt>
            <c:idx val="668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08-5918-4A61-9771-4BDA5A6BC233}"/>
              </c:ext>
            </c:extLst>
          </c:dPt>
          <c:dPt>
            <c:idx val="669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0A-5918-4A61-9771-4BDA5A6BC233}"/>
              </c:ext>
            </c:extLst>
          </c:dPt>
          <c:dPt>
            <c:idx val="670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0C-5918-4A61-9771-4BDA5A6BC233}"/>
              </c:ext>
            </c:extLst>
          </c:dPt>
          <c:dPt>
            <c:idx val="671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0E-5918-4A61-9771-4BDA5A6BC233}"/>
              </c:ext>
            </c:extLst>
          </c:dPt>
          <c:dPt>
            <c:idx val="672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10-5918-4A61-9771-4BDA5A6BC233}"/>
              </c:ext>
            </c:extLst>
          </c:dPt>
          <c:dPt>
            <c:idx val="673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12-5918-4A61-9771-4BDA5A6BC233}"/>
              </c:ext>
            </c:extLst>
          </c:dPt>
          <c:dPt>
            <c:idx val="674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14-5918-4A61-9771-4BDA5A6BC233}"/>
              </c:ext>
            </c:extLst>
          </c:dPt>
          <c:dPt>
            <c:idx val="675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16-5918-4A61-9771-4BDA5A6BC233}"/>
              </c:ext>
            </c:extLst>
          </c:dPt>
          <c:dPt>
            <c:idx val="676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18-5918-4A61-9771-4BDA5A6BC233}"/>
              </c:ext>
            </c:extLst>
          </c:dPt>
          <c:dPt>
            <c:idx val="677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1A-5918-4A61-9771-4BDA5A6BC233}"/>
              </c:ext>
            </c:extLst>
          </c:dPt>
          <c:dPt>
            <c:idx val="678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1C-5918-4A61-9771-4BDA5A6BC233}"/>
              </c:ext>
            </c:extLst>
          </c:dPt>
          <c:dPt>
            <c:idx val="679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1E-5918-4A61-9771-4BDA5A6BC233}"/>
              </c:ext>
            </c:extLst>
          </c:dPt>
          <c:dPt>
            <c:idx val="680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20-5918-4A61-9771-4BDA5A6BC233}"/>
              </c:ext>
            </c:extLst>
          </c:dPt>
          <c:dPt>
            <c:idx val="681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22-5918-4A61-9771-4BDA5A6BC233}"/>
              </c:ext>
            </c:extLst>
          </c:dPt>
          <c:dPt>
            <c:idx val="682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24-5918-4A61-9771-4BDA5A6BC233}"/>
              </c:ext>
            </c:extLst>
          </c:dPt>
          <c:dPt>
            <c:idx val="683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26-5918-4A61-9771-4BDA5A6BC233}"/>
              </c:ext>
            </c:extLst>
          </c:dPt>
          <c:dPt>
            <c:idx val="684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28-5918-4A61-9771-4BDA5A6BC233}"/>
              </c:ext>
            </c:extLst>
          </c:dPt>
          <c:dPt>
            <c:idx val="685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2A-5918-4A61-9771-4BDA5A6BC233}"/>
              </c:ext>
            </c:extLst>
          </c:dPt>
          <c:dPt>
            <c:idx val="686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2C-5918-4A61-9771-4BDA5A6BC233}"/>
              </c:ext>
            </c:extLst>
          </c:dPt>
          <c:dPt>
            <c:idx val="687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2E-5918-4A61-9771-4BDA5A6BC233}"/>
              </c:ext>
            </c:extLst>
          </c:dPt>
          <c:dPt>
            <c:idx val="688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30-5918-4A61-9771-4BDA5A6BC233}"/>
              </c:ext>
            </c:extLst>
          </c:dPt>
          <c:dPt>
            <c:idx val="689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32-5918-4A61-9771-4BDA5A6BC233}"/>
              </c:ext>
            </c:extLst>
          </c:dPt>
          <c:dPt>
            <c:idx val="690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34-5918-4A61-9771-4BDA5A6BC233}"/>
              </c:ext>
            </c:extLst>
          </c:dPt>
          <c:dPt>
            <c:idx val="691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36-5918-4A61-9771-4BDA5A6BC233}"/>
              </c:ext>
            </c:extLst>
          </c:dPt>
          <c:dPt>
            <c:idx val="692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38-5918-4A61-9771-4BDA5A6BC233}"/>
              </c:ext>
            </c:extLst>
          </c:dPt>
          <c:dPt>
            <c:idx val="693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3A-5918-4A61-9771-4BDA5A6BC233}"/>
              </c:ext>
            </c:extLst>
          </c:dPt>
          <c:dPt>
            <c:idx val="694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3C-5918-4A61-9771-4BDA5A6BC233}"/>
              </c:ext>
            </c:extLst>
          </c:dPt>
          <c:dPt>
            <c:idx val="695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3E-5918-4A61-9771-4BDA5A6BC233}"/>
              </c:ext>
            </c:extLst>
          </c:dPt>
          <c:dPt>
            <c:idx val="696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40-5918-4A61-9771-4BDA5A6BC233}"/>
              </c:ext>
            </c:extLst>
          </c:dPt>
          <c:dPt>
            <c:idx val="697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42-5918-4A61-9771-4BDA5A6BC233}"/>
              </c:ext>
            </c:extLst>
          </c:dPt>
          <c:dPt>
            <c:idx val="698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44-5918-4A61-9771-4BDA5A6BC233}"/>
              </c:ext>
            </c:extLst>
          </c:dPt>
          <c:dPt>
            <c:idx val="699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46-5918-4A61-9771-4BDA5A6BC233}"/>
              </c:ext>
            </c:extLst>
          </c:dPt>
          <c:dPt>
            <c:idx val="700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48-5918-4A61-9771-4BDA5A6BC233}"/>
              </c:ext>
            </c:extLst>
          </c:dPt>
          <c:dPt>
            <c:idx val="701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4A-5918-4A61-9771-4BDA5A6BC233}"/>
              </c:ext>
            </c:extLst>
          </c:dPt>
          <c:dPt>
            <c:idx val="702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4C-5918-4A61-9771-4BDA5A6BC233}"/>
              </c:ext>
            </c:extLst>
          </c:dPt>
          <c:dPt>
            <c:idx val="703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4E-5918-4A61-9771-4BDA5A6BC233}"/>
              </c:ext>
            </c:extLst>
          </c:dPt>
          <c:dPt>
            <c:idx val="704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50-5918-4A61-9771-4BDA5A6BC233}"/>
              </c:ext>
            </c:extLst>
          </c:dPt>
          <c:dPt>
            <c:idx val="705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52-5918-4A61-9771-4BDA5A6BC233}"/>
              </c:ext>
            </c:extLst>
          </c:dPt>
          <c:dPt>
            <c:idx val="706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54-5918-4A61-9771-4BDA5A6BC233}"/>
              </c:ext>
            </c:extLst>
          </c:dPt>
          <c:dPt>
            <c:idx val="707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56-5918-4A61-9771-4BDA5A6BC233}"/>
              </c:ext>
            </c:extLst>
          </c:dPt>
          <c:dPt>
            <c:idx val="708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58-5918-4A61-9771-4BDA5A6BC233}"/>
              </c:ext>
            </c:extLst>
          </c:dPt>
          <c:dPt>
            <c:idx val="709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5A-5918-4A61-9771-4BDA5A6BC233}"/>
              </c:ext>
            </c:extLst>
          </c:dPt>
          <c:dPt>
            <c:idx val="710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5C-5918-4A61-9771-4BDA5A6BC233}"/>
              </c:ext>
            </c:extLst>
          </c:dPt>
          <c:dPt>
            <c:idx val="711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5E-5918-4A61-9771-4BDA5A6BC233}"/>
              </c:ext>
            </c:extLst>
          </c:dPt>
          <c:dPt>
            <c:idx val="712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60-5918-4A61-9771-4BDA5A6BC233}"/>
              </c:ext>
            </c:extLst>
          </c:dPt>
          <c:dPt>
            <c:idx val="713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62-5918-4A61-9771-4BDA5A6BC233}"/>
              </c:ext>
            </c:extLst>
          </c:dPt>
          <c:dPt>
            <c:idx val="714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64-5918-4A61-9771-4BDA5A6BC233}"/>
              </c:ext>
            </c:extLst>
          </c:dPt>
          <c:dPt>
            <c:idx val="715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66-5918-4A61-9771-4BDA5A6BC233}"/>
              </c:ext>
            </c:extLst>
          </c:dPt>
          <c:dPt>
            <c:idx val="716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68-5918-4A61-9771-4BDA5A6BC233}"/>
              </c:ext>
            </c:extLst>
          </c:dPt>
          <c:dPt>
            <c:idx val="717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6A-5918-4A61-9771-4BDA5A6BC233}"/>
              </c:ext>
            </c:extLst>
          </c:dPt>
          <c:dPt>
            <c:idx val="718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6C-5918-4A61-9771-4BDA5A6BC233}"/>
              </c:ext>
            </c:extLst>
          </c:dPt>
          <c:dPt>
            <c:idx val="719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6E-5918-4A61-9771-4BDA5A6BC233}"/>
              </c:ext>
            </c:extLst>
          </c:dPt>
          <c:dPt>
            <c:idx val="720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70-5918-4A61-9771-4BDA5A6BC233}"/>
              </c:ext>
            </c:extLst>
          </c:dPt>
          <c:dPt>
            <c:idx val="721"/>
            <c:bubble3D val="0"/>
            <c:spPr>
              <a:solidFill>
                <a:srgbClr val="08E61D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72-5918-4A61-9771-4BDA5A6BC233}"/>
              </c:ext>
            </c:extLst>
          </c:dPt>
          <c:dPt>
            <c:idx val="722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74-5918-4A61-9771-4BDA5A6BC233}"/>
              </c:ext>
            </c:extLst>
          </c:dPt>
          <c:dPt>
            <c:idx val="723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76-5918-4A61-9771-4BDA5A6BC233}"/>
              </c:ext>
            </c:extLst>
          </c:dPt>
          <c:dPt>
            <c:idx val="724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78-5918-4A61-9771-4BDA5A6BC233}"/>
              </c:ext>
            </c:extLst>
          </c:dPt>
          <c:dPt>
            <c:idx val="725"/>
            <c:bubble3D val="0"/>
            <c:spPr>
              <a:solidFill>
                <a:schemeClr val="accent4">
                  <a:lumMod val="40000"/>
                  <a:lumOff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7A-5918-4A61-9771-4BDA5A6BC233}"/>
              </c:ext>
            </c:extLst>
          </c:dPt>
          <c:dPt>
            <c:idx val="726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7C-5918-4A61-9771-4BDA5A6BC233}"/>
              </c:ext>
            </c:extLst>
          </c:dPt>
          <c:dPt>
            <c:idx val="727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7E-5918-4A61-9771-4BDA5A6BC233}"/>
              </c:ext>
            </c:extLst>
          </c:dPt>
          <c:dPt>
            <c:idx val="728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80-5918-4A61-9771-4BDA5A6BC233}"/>
              </c:ext>
            </c:extLst>
          </c:dPt>
          <c:dPt>
            <c:idx val="729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82-5918-4A61-9771-4BDA5A6BC233}"/>
              </c:ext>
            </c:extLst>
          </c:dPt>
          <c:dPt>
            <c:idx val="730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84-5918-4A61-9771-4BDA5A6BC233}"/>
              </c:ext>
            </c:extLst>
          </c:dPt>
          <c:dPt>
            <c:idx val="731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86-5918-4A61-9771-4BDA5A6BC233}"/>
              </c:ext>
            </c:extLst>
          </c:dPt>
          <c:dPt>
            <c:idx val="732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88-5918-4A61-9771-4BDA5A6BC233}"/>
              </c:ext>
            </c:extLst>
          </c:dPt>
          <c:dPt>
            <c:idx val="733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8A-5918-4A61-9771-4BDA5A6BC233}"/>
              </c:ext>
            </c:extLst>
          </c:dPt>
          <c:dPt>
            <c:idx val="734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8C-5918-4A61-9771-4BDA5A6BC233}"/>
              </c:ext>
            </c:extLst>
          </c:dPt>
          <c:dPt>
            <c:idx val="735"/>
            <c:bubble3D val="0"/>
            <c:spPr>
              <a:solidFill>
                <a:srgbClr val="FF0066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8E-5918-4A61-9771-4BDA5A6BC233}"/>
              </c:ext>
            </c:extLst>
          </c:dPt>
          <c:dPt>
            <c:idx val="736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90-5918-4A61-9771-4BDA5A6BC233}"/>
              </c:ext>
            </c:extLst>
          </c:dPt>
          <c:dPt>
            <c:idx val="737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92-5918-4A61-9771-4BDA5A6BC233}"/>
              </c:ext>
            </c:extLst>
          </c:dPt>
          <c:dPt>
            <c:idx val="738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94-5918-4A61-9771-4BDA5A6BC233}"/>
              </c:ext>
            </c:extLst>
          </c:dPt>
          <c:dPt>
            <c:idx val="739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96-5918-4A61-9771-4BDA5A6BC233}"/>
              </c:ext>
            </c:extLst>
          </c:dPt>
          <c:dPt>
            <c:idx val="740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98-5918-4A61-9771-4BDA5A6BC233}"/>
              </c:ext>
            </c:extLst>
          </c:dPt>
          <c:dPt>
            <c:idx val="741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9A-5918-4A61-9771-4BDA5A6BC233}"/>
              </c:ext>
            </c:extLst>
          </c:dPt>
          <c:dPt>
            <c:idx val="742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9C-5918-4A61-9771-4BDA5A6BC233}"/>
              </c:ext>
            </c:extLst>
          </c:dPt>
          <c:dPt>
            <c:idx val="743"/>
            <c:bubble3D val="0"/>
            <c:spPr>
              <a:solidFill>
                <a:srgbClr val="FFFF00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9E-5918-4A61-9771-4BDA5A6BC233}"/>
              </c:ext>
            </c:extLst>
          </c:dPt>
          <c:dPt>
            <c:idx val="744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A0-5918-4A61-9771-4BDA5A6BC233}"/>
              </c:ext>
            </c:extLst>
          </c:dPt>
          <c:dPt>
            <c:idx val="745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A2-5918-4A61-9771-4BDA5A6BC233}"/>
              </c:ext>
            </c:extLst>
          </c:dPt>
          <c:dPt>
            <c:idx val="746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A4-5918-4A61-9771-4BDA5A6BC233}"/>
              </c:ext>
            </c:extLst>
          </c:dPt>
          <c:dPt>
            <c:idx val="747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A6-5918-4A61-9771-4BDA5A6BC233}"/>
              </c:ext>
            </c:extLst>
          </c:dPt>
          <c:dPt>
            <c:idx val="748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A8-5918-4A61-9771-4BDA5A6BC233}"/>
              </c:ext>
            </c:extLst>
          </c:dPt>
          <c:dPt>
            <c:idx val="749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AA-5918-4A61-9771-4BDA5A6BC233}"/>
              </c:ext>
            </c:extLst>
          </c:dPt>
          <c:dPt>
            <c:idx val="750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AC-5918-4A61-9771-4BDA5A6BC233}"/>
              </c:ext>
            </c:extLst>
          </c:dPt>
          <c:dPt>
            <c:idx val="751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AE-5918-4A61-9771-4BDA5A6BC233}"/>
              </c:ext>
            </c:extLst>
          </c:dPt>
          <c:dPt>
            <c:idx val="752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B0-5918-4A61-9771-4BDA5A6BC233}"/>
              </c:ext>
            </c:extLst>
          </c:dPt>
          <c:dPt>
            <c:idx val="753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B2-5918-4A61-9771-4BDA5A6BC233}"/>
              </c:ext>
            </c:extLst>
          </c:dPt>
          <c:dPt>
            <c:idx val="754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B4-5918-4A61-9771-4BDA5A6BC233}"/>
              </c:ext>
            </c:extLst>
          </c:dPt>
          <c:dPt>
            <c:idx val="755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B6-5918-4A61-9771-4BDA5A6BC233}"/>
              </c:ext>
            </c:extLst>
          </c:dPt>
          <c:dPt>
            <c:idx val="756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B8-5918-4A61-9771-4BDA5A6BC233}"/>
              </c:ext>
            </c:extLst>
          </c:dPt>
          <c:dPt>
            <c:idx val="757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BA-5918-4A61-9771-4BDA5A6BC233}"/>
              </c:ext>
            </c:extLst>
          </c:dPt>
          <c:dPt>
            <c:idx val="758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BC-5918-4A61-9771-4BDA5A6BC233}"/>
              </c:ext>
            </c:extLst>
          </c:dPt>
          <c:dPt>
            <c:idx val="759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BE-5918-4A61-9771-4BDA5A6BC233}"/>
              </c:ext>
            </c:extLst>
          </c:dPt>
          <c:dPt>
            <c:idx val="760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C0-5918-4A61-9771-4BDA5A6BC233}"/>
              </c:ext>
            </c:extLst>
          </c:dPt>
          <c:dPt>
            <c:idx val="761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C2-5918-4A61-9771-4BDA5A6BC233}"/>
              </c:ext>
            </c:extLst>
          </c:dPt>
          <c:dPt>
            <c:idx val="762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C4-5918-4A61-9771-4BDA5A6BC233}"/>
              </c:ext>
            </c:extLst>
          </c:dPt>
          <c:dPt>
            <c:idx val="763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C6-5918-4A61-9771-4BDA5A6BC233}"/>
              </c:ext>
            </c:extLst>
          </c:dPt>
          <c:dPt>
            <c:idx val="764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C8-5918-4A61-9771-4BDA5A6BC233}"/>
              </c:ext>
            </c:extLst>
          </c:dPt>
          <c:dPt>
            <c:idx val="765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CA-5918-4A61-9771-4BDA5A6BC233}"/>
              </c:ext>
            </c:extLst>
          </c:dPt>
          <c:dPt>
            <c:idx val="766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CC-5918-4A61-9771-4BDA5A6BC233}"/>
              </c:ext>
            </c:extLst>
          </c:dPt>
          <c:dPt>
            <c:idx val="767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CE-5918-4A61-9771-4BDA5A6BC233}"/>
              </c:ext>
            </c:extLst>
          </c:dPt>
          <c:dPt>
            <c:idx val="768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D0-5918-4A61-9771-4BDA5A6BC233}"/>
              </c:ext>
            </c:extLst>
          </c:dPt>
          <c:dPt>
            <c:idx val="769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D2-5918-4A61-9771-4BDA5A6BC233}"/>
              </c:ext>
            </c:extLst>
          </c:dPt>
          <c:dPt>
            <c:idx val="770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D4-5918-4A61-9771-4BDA5A6BC233}"/>
              </c:ext>
            </c:extLst>
          </c:dPt>
          <c:dPt>
            <c:idx val="771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D6-5918-4A61-9771-4BDA5A6BC233}"/>
              </c:ext>
            </c:extLst>
          </c:dPt>
          <c:dPt>
            <c:idx val="772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D8-5918-4A61-9771-4BDA5A6BC233}"/>
              </c:ext>
            </c:extLst>
          </c:dPt>
          <c:dPt>
            <c:idx val="773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DA-5918-4A61-9771-4BDA5A6BC233}"/>
              </c:ext>
            </c:extLst>
          </c:dPt>
          <c:dPt>
            <c:idx val="774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DC-5918-4A61-9771-4BDA5A6BC233}"/>
              </c:ext>
            </c:extLst>
          </c:dPt>
          <c:dPt>
            <c:idx val="775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DE-5918-4A61-9771-4BDA5A6BC233}"/>
              </c:ext>
            </c:extLst>
          </c:dPt>
          <c:dPt>
            <c:idx val="776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E0-5918-4A61-9771-4BDA5A6BC233}"/>
              </c:ext>
            </c:extLst>
          </c:dPt>
          <c:dPt>
            <c:idx val="777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E2-5918-4A61-9771-4BDA5A6BC233}"/>
              </c:ext>
            </c:extLst>
          </c:dPt>
          <c:dPt>
            <c:idx val="778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E4-5918-4A61-9771-4BDA5A6BC233}"/>
              </c:ext>
            </c:extLst>
          </c:dPt>
          <c:dPt>
            <c:idx val="779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E6-5918-4A61-9771-4BDA5A6BC233}"/>
              </c:ext>
            </c:extLst>
          </c:dPt>
          <c:dPt>
            <c:idx val="780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E8-5918-4A61-9771-4BDA5A6BC233}"/>
              </c:ext>
            </c:extLst>
          </c:dPt>
          <c:dPt>
            <c:idx val="781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EA-5918-4A61-9771-4BDA5A6BC233}"/>
              </c:ext>
            </c:extLst>
          </c:dPt>
          <c:dPt>
            <c:idx val="782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EC-5918-4A61-9771-4BDA5A6BC233}"/>
              </c:ext>
            </c:extLst>
          </c:dPt>
          <c:dPt>
            <c:idx val="783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EE-5918-4A61-9771-4BDA5A6BC233}"/>
              </c:ext>
            </c:extLst>
          </c:dPt>
          <c:dPt>
            <c:idx val="784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F0-5918-4A61-9771-4BDA5A6BC233}"/>
              </c:ext>
            </c:extLst>
          </c:dPt>
          <c:dPt>
            <c:idx val="785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F2-5918-4A61-9771-4BDA5A6BC233}"/>
              </c:ext>
            </c:extLst>
          </c:dPt>
          <c:dPt>
            <c:idx val="786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F4-5918-4A61-9771-4BDA5A6BC233}"/>
              </c:ext>
            </c:extLst>
          </c:dPt>
          <c:dPt>
            <c:idx val="787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F6-5918-4A61-9771-4BDA5A6BC233}"/>
              </c:ext>
            </c:extLst>
          </c:dPt>
          <c:dPt>
            <c:idx val="788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F8-5918-4A61-9771-4BDA5A6BC233}"/>
              </c:ext>
            </c:extLst>
          </c:dPt>
          <c:dPt>
            <c:idx val="789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FA-5918-4A61-9771-4BDA5A6BC233}"/>
              </c:ext>
            </c:extLst>
          </c:dPt>
          <c:dPt>
            <c:idx val="790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FC-5918-4A61-9771-4BDA5A6BC233}"/>
              </c:ext>
            </c:extLst>
          </c:dPt>
          <c:dPt>
            <c:idx val="791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FE-5918-4A61-9771-4BDA5A6BC233}"/>
              </c:ext>
            </c:extLst>
          </c:dPt>
          <c:dPt>
            <c:idx val="792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00-5918-4A61-9771-4BDA5A6BC233}"/>
              </c:ext>
            </c:extLst>
          </c:dPt>
          <c:dPt>
            <c:idx val="793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02-5918-4A61-9771-4BDA5A6BC233}"/>
              </c:ext>
            </c:extLst>
          </c:dPt>
          <c:dPt>
            <c:idx val="794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04-5918-4A61-9771-4BDA5A6BC233}"/>
              </c:ext>
            </c:extLst>
          </c:dPt>
          <c:dPt>
            <c:idx val="795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06-5918-4A61-9771-4BDA5A6BC233}"/>
              </c:ext>
            </c:extLst>
          </c:dPt>
          <c:dPt>
            <c:idx val="796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08-5918-4A61-9771-4BDA5A6BC233}"/>
              </c:ext>
            </c:extLst>
          </c:dPt>
          <c:dPt>
            <c:idx val="797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0A-5918-4A61-9771-4BDA5A6BC233}"/>
              </c:ext>
            </c:extLst>
          </c:dPt>
          <c:dPt>
            <c:idx val="798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0C-5918-4A61-9771-4BDA5A6BC233}"/>
              </c:ext>
            </c:extLst>
          </c:dPt>
          <c:dPt>
            <c:idx val="799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0E-5918-4A61-9771-4BDA5A6BC233}"/>
              </c:ext>
            </c:extLst>
          </c:dPt>
          <c:dPt>
            <c:idx val="800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10-5918-4A61-9771-4BDA5A6BC233}"/>
              </c:ext>
            </c:extLst>
          </c:dPt>
          <c:dPt>
            <c:idx val="801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12-5918-4A61-9771-4BDA5A6BC233}"/>
              </c:ext>
            </c:extLst>
          </c:dPt>
          <c:dPt>
            <c:idx val="802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14-5918-4A61-9771-4BDA5A6BC233}"/>
              </c:ext>
            </c:extLst>
          </c:dPt>
          <c:dPt>
            <c:idx val="803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16-5918-4A61-9771-4BDA5A6BC233}"/>
              </c:ext>
            </c:extLst>
          </c:dPt>
          <c:dPt>
            <c:idx val="804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18-5918-4A61-9771-4BDA5A6BC233}"/>
              </c:ext>
            </c:extLst>
          </c:dPt>
          <c:dPt>
            <c:idx val="805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1A-5918-4A61-9771-4BDA5A6BC233}"/>
              </c:ext>
            </c:extLst>
          </c:dPt>
          <c:dPt>
            <c:idx val="806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1C-5918-4A61-9771-4BDA5A6BC233}"/>
              </c:ext>
            </c:extLst>
          </c:dPt>
          <c:dPt>
            <c:idx val="807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1E-5918-4A61-9771-4BDA5A6BC233}"/>
              </c:ext>
            </c:extLst>
          </c:dPt>
          <c:dPt>
            <c:idx val="808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20-5918-4A61-9771-4BDA5A6BC233}"/>
              </c:ext>
            </c:extLst>
          </c:dPt>
          <c:dPt>
            <c:idx val="809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22-5918-4A61-9771-4BDA5A6BC233}"/>
              </c:ext>
            </c:extLst>
          </c:dPt>
          <c:dPt>
            <c:idx val="81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24-5918-4A61-9771-4BDA5A6BC233}"/>
              </c:ext>
            </c:extLst>
          </c:dPt>
          <c:dPt>
            <c:idx val="81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26-5918-4A61-9771-4BDA5A6BC233}"/>
              </c:ext>
            </c:extLst>
          </c:dPt>
          <c:dPt>
            <c:idx val="81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28-5918-4A61-9771-4BDA5A6BC233}"/>
              </c:ext>
            </c:extLst>
          </c:dPt>
          <c:dPt>
            <c:idx val="81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2A-5918-4A61-9771-4BDA5A6BC233}"/>
              </c:ext>
            </c:extLst>
          </c:dPt>
          <c:dPt>
            <c:idx val="81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2C-5918-4A61-9771-4BDA5A6BC233}"/>
              </c:ext>
            </c:extLst>
          </c:dPt>
          <c:dPt>
            <c:idx val="81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2E-5918-4A61-9771-4BDA5A6BC233}"/>
              </c:ext>
            </c:extLst>
          </c:dPt>
          <c:dPt>
            <c:idx val="81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30-5918-4A61-9771-4BDA5A6BC233}"/>
              </c:ext>
            </c:extLst>
          </c:dPt>
          <c:dPt>
            <c:idx val="817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32-5918-4A61-9771-4BDA5A6BC233}"/>
              </c:ext>
            </c:extLst>
          </c:dPt>
          <c:dPt>
            <c:idx val="818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34-5918-4A61-9771-4BDA5A6BC233}"/>
              </c:ext>
            </c:extLst>
          </c:dPt>
          <c:dPt>
            <c:idx val="819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36-5918-4A61-9771-4BDA5A6BC233}"/>
              </c:ext>
            </c:extLst>
          </c:dPt>
          <c:dPt>
            <c:idx val="820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38-5918-4A61-9771-4BDA5A6BC233}"/>
              </c:ext>
            </c:extLst>
          </c:dPt>
          <c:dPt>
            <c:idx val="821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3A-5918-4A61-9771-4BDA5A6BC233}"/>
              </c:ext>
            </c:extLst>
          </c:dPt>
          <c:dPt>
            <c:idx val="82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3C-5918-4A61-9771-4BDA5A6BC233}"/>
              </c:ext>
            </c:extLst>
          </c:dPt>
          <c:dPt>
            <c:idx val="82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3E-5918-4A61-9771-4BDA5A6BC233}"/>
              </c:ext>
            </c:extLst>
          </c:dPt>
          <c:dPt>
            <c:idx val="82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40-5918-4A61-9771-4BDA5A6BC233}"/>
              </c:ext>
            </c:extLst>
          </c:dPt>
          <c:dPt>
            <c:idx val="82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42-5918-4A61-9771-4BDA5A6BC233}"/>
              </c:ext>
            </c:extLst>
          </c:dPt>
          <c:dPt>
            <c:idx val="82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44-5918-4A61-9771-4BDA5A6BC233}"/>
              </c:ext>
            </c:extLst>
          </c:dPt>
          <c:dPt>
            <c:idx val="82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46-5918-4A61-9771-4BDA5A6BC233}"/>
              </c:ext>
            </c:extLst>
          </c:dPt>
          <c:dPt>
            <c:idx val="828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48-5918-4A61-9771-4BDA5A6BC233}"/>
              </c:ext>
            </c:extLst>
          </c:dPt>
          <c:dPt>
            <c:idx val="829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4A-5918-4A61-9771-4BDA5A6BC233}"/>
              </c:ext>
            </c:extLst>
          </c:dPt>
          <c:dPt>
            <c:idx val="830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4C-5918-4A61-9771-4BDA5A6BC233}"/>
              </c:ext>
            </c:extLst>
          </c:dPt>
          <c:dPt>
            <c:idx val="831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4E-5918-4A61-9771-4BDA5A6BC233}"/>
              </c:ext>
            </c:extLst>
          </c:dPt>
          <c:dPt>
            <c:idx val="832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50-5918-4A61-9771-4BDA5A6BC233}"/>
              </c:ext>
            </c:extLst>
          </c:dPt>
          <c:dPt>
            <c:idx val="833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52-5918-4A61-9771-4BDA5A6BC233}"/>
              </c:ext>
            </c:extLst>
          </c:dPt>
          <c:dPt>
            <c:idx val="83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54-5918-4A61-9771-4BDA5A6BC233}"/>
              </c:ext>
            </c:extLst>
          </c:dPt>
          <c:dPt>
            <c:idx val="83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56-5918-4A61-9771-4BDA5A6BC233}"/>
              </c:ext>
            </c:extLst>
          </c:dPt>
          <c:dPt>
            <c:idx val="83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58-5918-4A61-9771-4BDA5A6BC233}"/>
              </c:ext>
            </c:extLst>
          </c:dPt>
          <c:dPt>
            <c:idx val="83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5A-5918-4A61-9771-4BDA5A6BC233}"/>
              </c:ext>
            </c:extLst>
          </c:dPt>
          <c:dPt>
            <c:idx val="838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5C-5918-4A61-9771-4BDA5A6BC233}"/>
              </c:ext>
            </c:extLst>
          </c:dPt>
          <c:dPt>
            <c:idx val="839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5E-5918-4A61-9771-4BDA5A6BC233}"/>
              </c:ext>
            </c:extLst>
          </c:dPt>
          <c:dPt>
            <c:idx val="840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60-5918-4A61-9771-4BDA5A6BC233}"/>
              </c:ext>
            </c:extLst>
          </c:dPt>
          <c:dPt>
            <c:idx val="841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62-5918-4A61-9771-4BDA5A6BC233}"/>
              </c:ext>
            </c:extLst>
          </c:dPt>
          <c:dPt>
            <c:idx val="842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64-5918-4A61-9771-4BDA5A6BC233}"/>
              </c:ext>
            </c:extLst>
          </c:dPt>
          <c:dPt>
            <c:idx val="843"/>
            <c:bubble3D val="0"/>
            <c:spPr>
              <a:solidFill>
                <a:schemeClr val="accent6">
                  <a:lumMod val="7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66-5918-4A61-9771-4BDA5A6BC233}"/>
              </c:ext>
            </c:extLst>
          </c:dPt>
          <c:dPt>
            <c:idx val="844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68-5918-4A61-9771-4BDA5A6BC233}"/>
              </c:ext>
            </c:extLst>
          </c:dPt>
          <c:dPt>
            <c:idx val="845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6A-5918-4A61-9771-4BDA5A6BC233}"/>
              </c:ext>
            </c:extLst>
          </c:dPt>
          <c:dPt>
            <c:idx val="846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6C-5918-4A61-9771-4BDA5A6BC233}"/>
              </c:ext>
            </c:extLst>
          </c:dPt>
          <c:dPt>
            <c:idx val="847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6E-5918-4A61-9771-4BDA5A6BC233}"/>
              </c:ext>
            </c:extLst>
          </c:dPt>
          <c:dPt>
            <c:idx val="848"/>
            <c:bubble3D val="0"/>
            <c:spPr>
              <a:solidFill>
                <a:srgbClr val="0099FF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70-5918-4A61-9771-4BDA5A6BC233}"/>
              </c:ext>
            </c:extLst>
          </c:dPt>
          <c:dPt>
            <c:idx val="849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72-5918-4A61-9771-4BDA5A6BC233}"/>
              </c:ext>
            </c:extLst>
          </c:dPt>
          <c:dPt>
            <c:idx val="850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74-5918-4A61-9771-4BDA5A6BC233}"/>
              </c:ext>
            </c:extLst>
          </c:dPt>
          <c:dPt>
            <c:idx val="851"/>
            <c:bubble3D val="0"/>
            <c:spPr>
              <a:solidFill>
                <a:schemeClr val="bg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76-5918-4A61-9771-4BDA5A6BC233}"/>
              </c:ext>
            </c:extLst>
          </c:dPt>
          <c:dPt>
            <c:idx val="852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78-5918-4A61-9771-4BDA5A6BC233}"/>
              </c:ext>
            </c:extLst>
          </c:dPt>
          <c:dPt>
            <c:idx val="853"/>
            <c:bubble3D val="0"/>
            <c:spPr>
              <a:solidFill>
                <a:srgbClr val="FFFF00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7A-5918-4A61-9771-4BDA5A6BC233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 xmlns:c15="http://schemas.microsoft.com/office/drawing/2012/chart">
              <c:ext xmlns:c15="http://schemas.microsoft.com/office/drawing/2012/chart" uri="{CE6537A1-D6FC-4f65-9D91-7224C49458BB}"/>
            </c:extLst>
          </c:dLbls>
          <c:cat>
            <c:strRef>
              <c:f>('Données '!$C$199,'Données '!$E$199,'Données '!$G$199,'Données '!$I$199,'Données '!$K$199,'Données '!$M$199,'Données '!$O$199)</c:f>
              <c:strCache>
                <c:ptCount val="7"/>
                <c:pt idx="0">
                  <c:v>ESQ ==&gt; APD</c:v>
                </c:pt>
                <c:pt idx="1">
                  <c:v>Fin études/AO</c:v>
                </c:pt>
                <c:pt idx="2">
                  <c:v>OS</c:v>
                </c:pt>
                <c:pt idx="3">
                  <c:v>Travaux</c:v>
                </c:pt>
                <c:pt idx="4">
                  <c:v>GPA</c:v>
                </c:pt>
                <c:pt idx="5">
                  <c:v>Clôture défisc</c:v>
                </c:pt>
                <c:pt idx="6">
                  <c:v>STOP</c:v>
                </c:pt>
              </c:strCache>
            </c:strRef>
          </c:cat>
          <c:val>
            <c:numRef>
              <c:f>('Données '!$C$201,'Données '!$E$201,'Données '!$G$201,'Données '!$I$201,'Données '!$K$201,'Données '!$M$201,'Données '!$O$201)</c:f>
              <c:numCache>
                <c:formatCode>General</c:formatCode>
                <c:ptCount val="7"/>
                <c:pt idx="0">
                  <c:v>3</c:v>
                </c:pt>
                <c:pt idx="1">
                  <c:v>1</c:v>
                </c:pt>
                <c:pt idx="2">
                  <c:v>0</c:v>
                </c:pt>
                <c:pt idx="3">
                  <c:v>2</c:v>
                </c:pt>
                <c:pt idx="4">
                  <c:v>0</c:v>
                </c:pt>
                <c:pt idx="5">
                  <c:v>0</c:v>
                </c:pt>
                <c:pt idx="6">
                  <c:v>2</c:v>
                </c:pt>
              </c:numCache>
              <c:extLst xmlns:c15="http://schemas.microsoft.com/office/drawing/2012/chart"/>
            </c:numRef>
          </c:val>
          <c:extLst xmlns:c15="http://schemas.microsoft.com/office/drawing/2012/chart">
            <c:ext xmlns:c16="http://schemas.microsoft.com/office/drawing/2014/chart" uri="{C3380CC4-5D6E-409C-BE32-E72D297353CC}">
              <c16:uniqueId val="{00000F7B-5918-4A61-9771-4BDA5A6BC233}"/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  <c:extLst>
          <c:ext xmlns:c15="http://schemas.microsoft.com/office/drawing/2012/chart" uri="{02D57815-91ED-43cb-92C2-25804820EDAC}">
            <c15:filteredPieSeries>
              <c15:ser>
                <c:idx val="0"/>
                <c:order val="0"/>
                <c:tx>
                  <c:strRef>
                    <c:extLst>
                      <c:ext uri="{02D57815-91ED-43cb-92C2-25804820EDAC}">
                        <c15:formulaRef>
                          <c15:sqref>'Données '!$B$200</c15:sqref>
                        </c15:formulaRef>
                      </c:ext>
                    </c:extLst>
                    <c:strCache>
                      <c:ptCount val="1"/>
                      <c:pt idx="0">
                        <c:v>DBE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23-5918-4A61-9771-4BDA5A6BC233}"/>
                    </c:ext>
                  </c:extLst>
                </c:dPt>
                <c:dPt>
                  <c:idx val="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25-5918-4A61-9771-4BDA5A6BC233}"/>
                    </c:ext>
                  </c:extLst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27-5918-4A61-9771-4BDA5A6BC233}"/>
                    </c:ext>
                  </c:extLst>
                </c:dPt>
                <c:dPt>
                  <c:idx val="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29-5918-4A61-9771-4BDA5A6BC233}"/>
                    </c:ext>
                  </c:extLst>
                </c:dPt>
                <c:dPt>
                  <c:idx val="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2B-5918-4A61-9771-4BDA5A6BC233}"/>
                    </c:ext>
                  </c:extLst>
                </c:dPt>
                <c:dPt>
                  <c:idx val="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2D-5918-4A61-9771-4BDA5A6BC233}"/>
                    </c:ext>
                  </c:extLst>
                </c:dPt>
                <c:dPt>
                  <c:idx val="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2F-5918-4A61-9771-4BDA5A6BC233}"/>
                    </c:ext>
                  </c:extLst>
                </c:dPt>
                <c:dPt>
                  <c:idx val="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31-5918-4A61-9771-4BDA5A6BC233}"/>
                    </c:ext>
                  </c:extLst>
                </c:dPt>
                <c:dPt>
                  <c:idx val="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33-5918-4A61-9771-4BDA5A6BC233}"/>
                    </c:ext>
                  </c:extLst>
                </c:dPt>
                <c:dPt>
                  <c:idx val="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35-5918-4A61-9771-4BDA5A6BC233}"/>
                    </c:ext>
                  </c:extLst>
                </c:dPt>
                <c:dPt>
                  <c:idx val="1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37-5918-4A61-9771-4BDA5A6BC233}"/>
                    </c:ext>
                  </c:extLst>
                </c:dPt>
                <c:dPt>
                  <c:idx val="1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39-5918-4A61-9771-4BDA5A6BC233}"/>
                    </c:ext>
                  </c:extLst>
                </c:dPt>
                <c:dPt>
                  <c:idx val="1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3B-5918-4A61-9771-4BDA5A6BC233}"/>
                    </c:ext>
                  </c:extLst>
                </c:dPt>
                <c:dPt>
                  <c:idx val="1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3D-5918-4A61-9771-4BDA5A6BC233}"/>
                    </c:ext>
                  </c:extLst>
                </c:dPt>
                <c:dPt>
                  <c:idx val="1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3F-5918-4A61-9771-4BDA5A6BC233}"/>
                    </c:ext>
                  </c:extLst>
                </c:dPt>
                <c:dPt>
                  <c:idx val="1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41-5918-4A61-9771-4BDA5A6BC233}"/>
                    </c:ext>
                  </c:extLst>
                </c:dPt>
                <c:dPt>
                  <c:idx val="1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43-5918-4A61-9771-4BDA5A6BC233}"/>
                    </c:ext>
                  </c:extLst>
                </c:dPt>
                <c:dPt>
                  <c:idx val="1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45-5918-4A61-9771-4BDA5A6BC233}"/>
                    </c:ext>
                  </c:extLst>
                </c:dPt>
                <c:dPt>
                  <c:idx val="1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47-5918-4A61-9771-4BDA5A6BC233}"/>
                    </c:ext>
                  </c:extLst>
                </c:dPt>
                <c:dPt>
                  <c:idx val="1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49-5918-4A61-9771-4BDA5A6BC233}"/>
                    </c:ext>
                  </c:extLst>
                </c:dPt>
                <c:dPt>
                  <c:idx val="2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4B-5918-4A61-9771-4BDA5A6BC233}"/>
                    </c:ext>
                  </c:extLst>
                </c:dPt>
                <c:dPt>
                  <c:idx val="2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4D-5918-4A61-9771-4BDA5A6BC233}"/>
                    </c:ext>
                  </c:extLst>
                </c:dPt>
                <c:dPt>
                  <c:idx val="2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4F-5918-4A61-9771-4BDA5A6BC233}"/>
                    </c:ext>
                  </c:extLst>
                </c:dPt>
                <c:dPt>
                  <c:idx val="2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51-5918-4A61-9771-4BDA5A6BC233}"/>
                    </c:ext>
                  </c:extLst>
                </c:dPt>
                <c:dPt>
                  <c:idx val="2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53-5918-4A61-9771-4BDA5A6BC233}"/>
                    </c:ext>
                  </c:extLst>
                </c:dPt>
                <c:dPt>
                  <c:idx val="2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55-5918-4A61-9771-4BDA5A6BC233}"/>
                    </c:ext>
                  </c:extLst>
                </c:dPt>
                <c:dPt>
                  <c:idx val="2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57-5918-4A61-9771-4BDA5A6BC233}"/>
                    </c:ext>
                  </c:extLst>
                </c:dPt>
                <c:dPt>
                  <c:idx val="2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59-5918-4A61-9771-4BDA5A6BC233}"/>
                    </c:ext>
                  </c:extLst>
                </c:dPt>
                <c:dPt>
                  <c:idx val="2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5B-5918-4A61-9771-4BDA5A6BC233}"/>
                    </c:ext>
                  </c:extLst>
                </c:dPt>
                <c:dPt>
                  <c:idx val="2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5D-5918-4A61-9771-4BDA5A6BC233}"/>
                    </c:ext>
                  </c:extLst>
                </c:dPt>
                <c:dPt>
                  <c:idx val="3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5F-5918-4A61-9771-4BDA5A6BC233}"/>
                    </c:ext>
                  </c:extLst>
                </c:dPt>
                <c:dPt>
                  <c:idx val="3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61-5918-4A61-9771-4BDA5A6BC233}"/>
                    </c:ext>
                  </c:extLst>
                </c:dPt>
                <c:dPt>
                  <c:idx val="3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63-5918-4A61-9771-4BDA5A6BC233}"/>
                    </c:ext>
                  </c:extLst>
                </c:dPt>
                <c:dPt>
                  <c:idx val="3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65-5918-4A61-9771-4BDA5A6BC233}"/>
                    </c:ext>
                  </c:extLst>
                </c:dPt>
                <c:dPt>
                  <c:idx val="3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67-5918-4A61-9771-4BDA5A6BC233}"/>
                    </c:ext>
                  </c:extLst>
                </c:dPt>
                <c:dPt>
                  <c:idx val="3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69-5918-4A61-9771-4BDA5A6BC233}"/>
                    </c:ext>
                  </c:extLst>
                </c:dPt>
                <c:dPt>
                  <c:idx val="3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6B-5918-4A61-9771-4BDA5A6BC233}"/>
                    </c:ext>
                  </c:extLst>
                </c:dPt>
                <c:dPt>
                  <c:idx val="3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6D-5918-4A61-9771-4BDA5A6BC233}"/>
                    </c:ext>
                  </c:extLst>
                </c:dPt>
                <c:dPt>
                  <c:idx val="3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6F-5918-4A61-9771-4BDA5A6BC233}"/>
                    </c:ext>
                  </c:extLst>
                </c:dPt>
                <c:dPt>
                  <c:idx val="3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71-5918-4A61-9771-4BDA5A6BC233}"/>
                    </c:ext>
                  </c:extLst>
                </c:dPt>
                <c:dPt>
                  <c:idx val="4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73-5918-4A61-9771-4BDA5A6BC233}"/>
                    </c:ext>
                  </c:extLst>
                </c:dPt>
                <c:dPt>
                  <c:idx val="4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75-5918-4A61-9771-4BDA5A6BC233}"/>
                    </c:ext>
                  </c:extLst>
                </c:dPt>
                <c:dPt>
                  <c:idx val="4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77-5918-4A61-9771-4BDA5A6BC233}"/>
                    </c:ext>
                  </c:extLst>
                </c:dPt>
                <c:dPt>
                  <c:idx val="4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79-5918-4A61-9771-4BDA5A6BC233}"/>
                    </c:ext>
                  </c:extLst>
                </c:dPt>
                <c:dPt>
                  <c:idx val="4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7B-5918-4A61-9771-4BDA5A6BC233}"/>
                    </c:ext>
                  </c:extLst>
                </c:dPt>
                <c:dPt>
                  <c:idx val="4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7D-5918-4A61-9771-4BDA5A6BC233}"/>
                    </c:ext>
                  </c:extLst>
                </c:dPt>
                <c:dPt>
                  <c:idx val="4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7F-5918-4A61-9771-4BDA5A6BC233}"/>
                    </c:ext>
                  </c:extLst>
                </c:dPt>
                <c:dPt>
                  <c:idx val="4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81-5918-4A61-9771-4BDA5A6BC233}"/>
                    </c:ext>
                  </c:extLst>
                </c:dPt>
                <c:dPt>
                  <c:idx val="4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83-5918-4A61-9771-4BDA5A6BC233}"/>
                    </c:ext>
                  </c:extLst>
                </c:dPt>
                <c:dPt>
                  <c:idx val="4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85-5918-4A61-9771-4BDA5A6BC233}"/>
                    </c:ext>
                  </c:extLst>
                </c:dPt>
                <c:dPt>
                  <c:idx val="5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87-5918-4A61-9771-4BDA5A6BC233}"/>
                    </c:ext>
                  </c:extLst>
                </c:dPt>
                <c:dPt>
                  <c:idx val="5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89-5918-4A61-9771-4BDA5A6BC233}"/>
                    </c:ext>
                  </c:extLst>
                </c:dPt>
                <c:dPt>
                  <c:idx val="5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8B-5918-4A61-9771-4BDA5A6BC233}"/>
                    </c:ext>
                  </c:extLst>
                </c:dPt>
                <c:dPt>
                  <c:idx val="5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8D-5918-4A61-9771-4BDA5A6BC233}"/>
                    </c:ext>
                  </c:extLst>
                </c:dPt>
                <c:dPt>
                  <c:idx val="5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8F-5918-4A61-9771-4BDA5A6BC233}"/>
                    </c:ext>
                  </c:extLst>
                </c:dPt>
                <c:dPt>
                  <c:idx val="5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91-5918-4A61-9771-4BDA5A6BC233}"/>
                    </c:ext>
                  </c:extLst>
                </c:dPt>
                <c:dPt>
                  <c:idx val="5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93-5918-4A61-9771-4BDA5A6BC233}"/>
                    </c:ext>
                  </c:extLst>
                </c:dPt>
                <c:dPt>
                  <c:idx val="5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95-5918-4A61-9771-4BDA5A6BC233}"/>
                    </c:ext>
                  </c:extLst>
                </c:dPt>
                <c:dPt>
                  <c:idx val="5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97-5918-4A61-9771-4BDA5A6BC233}"/>
                    </c:ext>
                  </c:extLst>
                </c:dPt>
                <c:dPt>
                  <c:idx val="5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99-5918-4A61-9771-4BDA5A6BC233}"/>
                    </c:ext>
                  </c:extLst>
                </c:dPt>
                <c:dPt>
                  <c:idx val="6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9B-5918-4A61-9771-4BDA5A6BC233}"/>
                    </c:ext>
                  </c:extLst>
                </c:dPt>
                <c:dPt>
                  <c:idx val="6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9D-5918-4A61-9771-4BDA5A6BC233}"/>
                    </c:ext>
                  </c:extLst>
                </c:dPt>
                <c:dPt>
                  <c:idx val="6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9F-5918-4A61-9771-4BDA5A6BC233}"/>
                    </c:ext>
                  </c:extLst>
                </c:dPt>
                <c:dPt>
                  <c:idx val="6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A1-5918-4A61-9771-4BDA5A6BC233}"/>
                    </c:ext>
                  </c:extLst>
                </c:dPt>
                <c:dPt>
                  <c:idx val="6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A3-5918-4A61-9771-4BDA5A6BC233}"/>
                    </c:ext>
                  </c:extLst>
                </c:dPt>
                <c:dPt>
                  <c:idx val="6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A5-5918-4A61-9771-4BDA5A6BC233}"/>
                    </c:ext>
                  </c:extLst>
                </c:dPt>
                <c:dPt>
                  <c:idx val="6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A7-5918-4A61-9771-4BDA5A6BC233}"/>
                    </c:ext>
                  </c:extLst>
                </c:dPt>
                <c:dPt>
                  <c:idx val="6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A9-5918-4A61-9771-4BDA5A6BC233}"/>
                    </c:ext>
                  </c:extLst>
                </c:dPt>
                <c:dPt>
                  <c:idx val="6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AB-5918-4A61-9771-4BDA5A6BC233}"/>
                    </c:ext>
                  </c:extLst>
                </c:dPt>
                <c:dPt>
                  <c:idx val="6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AD-5918-4A61-9771-4BDA5A6BC233}"/>
                    </c:ext>
                  </c:extLst>
                </c:dPt>
                <c:dPt>
                  <c:idx val="7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AF-5918-4A61-9771-4BDA5A6BC233}"/>
                    </c:ext>
                  </c:extLst>
                </c:dPt>
                <c:dPt>
                  <c:idx val="7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B1-5918-4A61-9771-4BDA5A6BC233}"/>
                    </c:ext>
                  </c:extLst>
                </c:dPt>
                <c:dPt>
                  <c:idx val="7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B3-5918-4A61-9771-4BDA5A6BC233}"/>
                    </c:ext>
                  </c:extLst>
                </c:dPt>
                <c:dPt>
                  <c:idx val="7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B5-5918-4A61-9771-4BDA5A6BC233}"/>
                    </c:ext>
                  </c:extLst>
                </c:dPt>
                <c:dPt>
                  <c:idx val="7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B7-5918-4A61-9771-4BDA5A6BC233}"/>
                    </c:ext>
                  </c:extLst>
                </c:dPt>
                <c:dPt>
                  <c:idx val="7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B9-5918-4A61-9771-4BDA5A6BC233}"/>
                    </c:ext>
                  </c:extLst>
                </c:dPt>
                <c:dPt>
                  <c:idx val="7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BB-5918-4A61-9771-4BDA5A6BC233}"/>
                    </c:ext>
                  </c:extLst>
                </c:dPt>
                <c:dPt>
                  <c:idx val="7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BD-5918-4A61-9771-4BDA5A6BC233}"/>
                    </c:ext>
                  </c:extLst>
                </c:dPt>
                <c:dPt>
                  <c:idx val="7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BF-5918-4A61-9771-4BDA5A6BC233}"/>
                    </c:ext>
                  </c:extLst>
                </c:dPt>
                <c:dPt>
                  <c:idx val="7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C1-5918-4A61-9771-4BDA5A6BC233}"/>
                    </c:ext>
                  </c:extLst>
                </c:dPt>
                <c:dPt>
                  <c:idx val="8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C3-5918-4A61-9771-4BDA5A6BC233}"/>
                    </c:ext>
                  </c:extLst>
                </c:dPt>
                <c:dPt>
                  <c:idx val="8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C5-5918-4A61-9771-4BDA5A6BC233}"/>
                    </c:ext>
                  </c:extLst>
                </c:dPt>
                <c:dPt>
                  <c:idx val="8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C7-5918-4A61-9771-4BDA5A6BC233}"/>
                    </c:ext>
                  </c:extLst>
                </c:dPt>
                <c:dPt>
                  <c:idx val="8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C9-5918-4A61-9771-4BDA5A6BC233}"/>
                    </c:ext>
                  </c:extLst>
                </c:dPt>
                <c:dPt>
                  <c:idx val="8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CB-5918-4A61-9771-4BDA5A6BC233}"/>
                    </c:ext>
                  </c:extLst>
                </c:dPt>
                <c:dPt>
                  <c:idx val="8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CD-5918-4A61-9771-4BDA5A6BC233}"/>
                    </c:ext>
                  </c:extLst>
                </c:dPt>
                <c:dPt>
                  <c:idx val="8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CF-5918-4A61-9771-4BDA5A6BC233}"/>
                    </c:ext>
                  </c:extLst>
                </c:dPt>
                <c:dPt>
                  <c:idx val="8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D1-5918-4A61-9771-4BDA5A6BC233}"/>
                    </c:ext>
                  </c:extLst>
                </c:dPt>
                <c:dPt>
                  <c:idx val="8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D3-5918-4A61-9771-4BDA5A6BC233}"/>
                    </c:ext>
                  </c:extLst>
                </c:dPt>
                <c:dPt>
                  <c:idx val="8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D5-5918-4A61-9771-4BDA5A6BC233}"/>
                    </c:ext>
                  </c:extLst>
                </c:dPt>
                <c:dPt>
                  <c:idx val="9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D7-5918-4A61-9771-4BDA5A6BC233}"/>
                    </c:ext>
                  </c:extLst>
                </c:dPt>
                <c:dPt>
                  <c:idx val="9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D9-5918-4A61-9771-4BDA5A6BC233}"/>
                    </c:ext>
                  </c:extLst>
                </c:dPt>
                <c:dPt>
                  <c:idx val="9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DB-5918-4A61-9771-4BDA5A6BC233}"/>
                    </c:ext>
                  </c:extLst>
                </c:dPt>
                <c:dPt>
                  <c:idx val="9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DD-5918-4A61-9771-4BDA5A6BC233}"/>
                    </c:ext>
                  </c:extLst>
                </c:dPt>
                <c:dPt>
                  <c:idx val="9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DF-5918-4A61-9771-4BDA5A6BC233}"/>
                    </c:ext>
                  </c:extLst>
                </c:dPt>
                <c:dPt>
                  <c:idx val="9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E1-5918-4A61-9771-4BDA5A6BC233}"/>
                    </c:ext>
                  </c:extLst>
                </c:dPt>
                <c:dPt>
                  <c:idx val="9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E3-5918-4A61-9771-4BDA5A6BC233}"/>
                    </c:ext>
                  </c:extLst>
                </c:dPt>
                <c:dPt>
                  <c:idx val="9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E5-5918-4A61-9771-4BDA5A6BC233}"/>
                    </c:ext>
                  </c:extLst>
                </c:dPt>
                <c:dPt>
                  <c:idx val="9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E7-5918-4A61-9771-4BDA5A6BC233}"/>
                    </c:ext>
                  </c:extLst>
                </c:dPt>
                <c:dPt>
                  <c:idx val="9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E9-5918-4A61-9771-4BDA5A6BC233}"/>
                    </c:ext>
                  </c:extLst>
                </c:dPt>
                <c:dPt>
                  <c:idx val="10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EB-5918-4A61-9771-4BDA5A6BC233}"/>
                    </c:ext>
                  </c:extLst>
                </c:dPt>
                <c:dPt>
                  <c:idx val="10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ED-5918-4A61-9771-4BDA5A6BC233}"/>
                    </c:ext>
                  </c:extLst>
                </c:dPt>
                <c:dPt>
                  <c:idx val="10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EF-5918-4A61-9771-4BDA5A6BC233}"/>
                    </c:ext>
                  </c:extLst>
                </c:dPt>
                <c:dPt>
                  <c:idx val="10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F1-5918-4A61-9771-4BDA5A6BC233}"/>
                    </c:ext>
                  </c:extLst>
                </c:dPt>
                <c:dPt>
                  <c:idx val="10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F3-5918-4A61-9771-4BDA5A6BC233}"/>
                    </c:ext>
                  </c:extLst>
                </c:dPt>
                <c:dPt>
                  <c:idx val="10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F5-5918-4A61-9771-4BDA5A6BC233}"/>
                    </c:ext>
                  </c:extLst>
                </c:dPt>
                <c:dPt>
                  <c:idx val="10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F7-5918-4A61-9771-4BDA5A6BC233}"/>
                    </c:ext>
                  </c:extLst>
                </c:dPt>
                <c:dPt>
                  <c:idx val="10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F9-5918-4A61-9771-4BDA5A6BC233}"/>
                    </c:ext>
                  </c:extLst>
                </c:dPt>
                <c:dPt>
                  <c:idx val="10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FB-5918-4A61-9771-4BDA5A6BC233}"/>
                    </c:ext>
                  </c:extLst>
                </c:dPt>
                <c:dPt>
                  <c:idx val="10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FD-5918-4A61-9771-4BDA5A6BC233}"/>
                    </c:ext>
                  </c:extLst>
                </c:dPt>
                <c:dPt>
                  <c:idx val="11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FF-5918-4A61-9771-4BDA5A6BC233}"/>
                    </c:ext>
                  </c:extLst>
                </c:dPt>
                <c:dPt>
                  <c:idx val="11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01-5918-4A61-9771-4BDA5A6BC233}"/>
                    </c:ext>
                  </c:extLst>
                </c:dPt>
                <c:dPt>
                  <c:idx val="11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03-5918-4A61-9771-4BDA5A6BC233}"/>
                    </c:ext>
                  </c:extLst>
                </c:dPt>
                <c:dPt>
                  <c:idx val="11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05-5918-4A61-9771-4BDA5A6BC233}"/>
                    </c:ext>
                  </c:extLst>
                </c:dPt>
                <c:dPt>
                  <c:idx val="11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07-5918-4A61-9771-4BDA5A6BC233}"/>
                    </c:ext>
                  </c:extLst>
                </c:dPt>
                <c:dPt>
                  <c:idx val="11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09-5918-4A61-9771-4BDA5A6BC233}"/>
                    </c:ext>
                  </c:extLst>
                </c:dPt>
                <c:dPt>
                  <c:idx val="11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0B-5918-4A61-9771-4BDA5A6BC233}"/>
                    </c:ext>
                  </c:extLst>
                </c:dPt>
                <c:dPt>
                  <c:idx val="11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0D-5918-4A61-9771-4BDA5A6BC233}"/>
                    </c:ext>
                  </c:extLst>
                </c:dPt>
                <c:dPt>
                  <c:idx val="11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0F-5918-4A61-9771-4BDA5A6BC233}"/>
                    </c:ext>
                  </c:extLst>
                </c:dPt>
                <c:dPt>
                  <c:idx val="11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11-5918-4A61-9771-4BDA5A6BC233}"/>
                    </c:ext>
                  </c:extLst>
                </c:dPt>
                <c:dPt>
                  <c:idx val="12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13-5918-4A61-9771-4BDA5A6BC233}"/>
                    </c:ext>
                  </c:extLst>
                </c:dPt>
                <c:dPt>
                  <c:idx val="12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15-5918-4A61-9771-4BDA5A6BC233}"/>
                    </c:ext>
                  </c:extLst>
                </c:dPt>
                <c:dPt>
                  <c:idx val="12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17-5918-4A61-9771-4BDA5A6BC233}"/>
                    </c:ext>
                  </c:extLst>
                </c:dPt>
                <c:dPt>
                  <c:idx val="12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19-5918-4A61-9771-4BDA5A6BC233}"/>
                    </c:ext>
                  </c:extLst>
                </c:dPt>
                <c:dPt>
                  <c:idx val="12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1B-5918-4A61-9771-4BDA5A6BC233}"/>
                    </c:ext>
                  </c:extLst>
                </c:dPt>
                <c:dPt>
                  <c:idx val="12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1D-5918-4A61-9771-4BDA5A6BC233}"/>
                    </c:ext>
                  </c:extLst>
                </c:dPt>
                <c:dPt>
                  <c:idx val="12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1F-5918-4A61-9771-4BDA5A6BC233}"/>
                    </c:ext>
                  </c:extLst>
                </c:dPt>
                <c:dPt>
                  <c:idx val="12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21-5918-4A61-9771-4BDA5A6BC233}"/>
                    </c:ext>
                  </c:extLst>
                </c:dPt>
                <c:dPt>
                  <c:idx val="12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23-5918-4A61-9771-4BDA5A6BC233}"/>
                    </c:ext>
                  </c:extLst>
                </c:dPt>
                <c:dPt>
                  <c:idx val="12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25-5918-4A61-9771-4BDA5A6BC233}"/>
                    </c:ext>
                  </c:extLst>
                </c:dPt>
                <c:dPt>
                  <c:idx val="13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27-5918-4A61-9771-4BDA5A6BC233}"/>
                    </c:ext>
                  </c:extLst>
                </c:dPt>
                <c:dPt>
                  <c:idx val="13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29-5918-4A61-9771-4BDA5A6BC233}"/>
                    </c:ext>
                  </c:extLst>
                </c:dPt>
                <c:dPt>
                  <c:idx val="13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2B-5918-4A61-9771-4BDA5A6BC233}"/>
                    </c:ext>
                  </c:extLst>
                </c:dPt>
                <c:dPt>
                  <c:idx val="13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2D-5918-4A61-9771-4BDA5A6BC233}"/>
                    </c:ext>
                  </c:extLst>
                </c:dPt>
                <c:dPt>
                  <c:idx val="13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2F-5918-4A61-9771-4BDA5A6BC233}"/>
                    </c:ext>
                  </c:extLst>
                </c:dPt>
                <c:dPt>
                  <c:idx val="13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31-5918-4A61-9771-4BDA5A6BC233}"/>
                    </c:ext>
                  </c:extLst>
                </c:dPt>
                <c:dPt>
                  <c:idx val="13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33-5918-4A61-9771-4BDA5A6BC233}"/>
                    </c:ext>
                  </c:extLst>
                </c:dPt>
                <c:dPt>
                  <c:idx val="13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35-5918-4A61-9771-4BDA5A6BC233}"/>
                    </c:ext>
                  </c:extLst>
                </c:dPt>
                <c:dPt>
                  <c:idx val="13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37-5918-4A61-9771-4BDA5A6BC233}"/>
                    </c:ext>
                  </c:extLst>
                </c:dPt>
                <c:dPt>
                  <c:idx val="13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39-5918-4A61-9771-4BDA5A6BC233}"/>
                    </c:ext>
                  </c:extLst>
                </c:dPt>
                <c:dPt>
                  <c:idx val="14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3B-5918-4A61-9771-4BDA5A6BC233}"/>
                    </c:ext>
                  </c:extLst>
                </c:dPt>
                <c:dPt>
                  <c:idx val="14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3D-5918-4A61-9771-4BDA5A6BC233}"/>
                    </c:ext>
                  </c:extLst>
                </c:dPt>
                <c:dPt>
                  <c:idx val="14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3F-5918-4A61-9771-4BDA5A6BC233}"/>
                    </c:ext>
                  </c:extLst>
                </c:dPt>
                <c:dPt>
                  <c:idx val="14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41-5918-4A61-9771-4BDA5A6BC233}"/>
                    </c:ext>
                  </c:extLst>
                </c:dPt>
                <c:dPt>
                  <c:idx val="14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43-5918-4A61-9771-4BDA5A6BC233}"/>
                    </c:ext>
                  </c:extLst>
                </c:dPt>
                <c:dPt>
                  <c:idx val="14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45-5918-4A61-9771-4BDA5A6BC233}"/>
                    </c:ext>
                  </c:extLst>
                </c:dPt>
                <c:dPt>
                  <c:idx val="14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47-5918-4A61-9771-4BDA5A6BC233}"/>
                    </c:ext>
                  </c:extLst>
                </c:dPt>
                <c:dPt>
                  <c:idx val="14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49-5918-4A61-9771-4BDA5A6BC233}"/>
                    </c:ext>
                  </c:extLst>
                </c:dPt>
                <c:dPt>
                  <c:idx val="14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4B-5918-4A61-9771-4BDA5A6BC233}"/>
                    </c:ext>
                  </c:extLst>
                </c:dPt>
                <c:dPt>
                  <c:idx val="14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4D-5918-4A61-9771-4BDA5A6BC233}"/>
                    </c:ext>
                  </c:extLst>
                </c:dPt>
                <c:dPt>
                  <c:idx val="15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4F-5918-4A61-9771-4BDA5A6BC233}"/>
                    </c:ext>
                  </c:extLst>
                </c:dPt>
                <c:dPt>
                  <c:idx val="15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51-5918-4A61-9771-4BDA5A6BC233}"/>
                    </c:ext>
                  </c:extLst>
                </c:dPt>
                <c:dPt>
                  <c:idx val="15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53-5918-4A61-9771-4BDA5A6BC233}"/>
                    </c:ext>
                  </c:extLst>
                </c:dPt>
                <c:dPt>
                  <c:idx val="15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55-5918-4A61-9771-4BDA5A6BC233}"/>
                    </c:ext>
                  </c:extLst>
                </c:dPt>
                <c:dPt>
                  <c:idx val="15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57-5918-4A61-9771-4BDA5A6BC233}"/>
                    </c:ext>
                  </c:extLst>
                </c:dPt>
                <c:dPt>
                  <c:idx val="15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59-5918-4A61-9771-4BDA5A6BC233}"/>
                    </c:ext>
                  </c:extLst>
                </c:dPt>
                <c:dPt>
                  <c:idx val="15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5B-5918-4A61-9771-4BDA5A6BC233}"/>
                    </c:ext>
                  </c:extLst>
                </c:dPt>
                <c:dPt>
                  <c:idx val="15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5D-5918-4A61-9771-4BDA5A6BC233}"/>
                    </c:ext>
                  </c:extLst>
                </c:dPt>
                <c:dPt>
                  <c:idx val="15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5F-5918-4A61-9771-4BDA5A6BC233}"/>
                    </c:ext>
                  </c:extLst>
                </c:dPt>
                <c:dPt>
                  <c:idx val="15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61-5918-4A61-9771-4BDA5A6BC233}"/>
                    </c:ext>
                  </c:extLst>
                </c:dPt>
                <c:dPt>
                  <c:idx val="16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63-5918-4A61-9771-4BDA5A6BC233}"/>
                    </c:ext>
                  </c:extLst>
                </c:dPt>
                <c:dPt>
                  <c:idx val="16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65-5918-4A61-9771-4BDA5A6BC233}"/>
                    </c:ext>
                  </c:extLst>
                </c:dPt>
                <c:dPt>
                  <c:idx val="16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67-5918-4A61-9771-4BDA5A6BC233}"/>
                    </c:ext>
                  </c:extLst>
                </c:dPt>
                <c:dPt>
                  <c:idx val="16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69-5918-4A61-9771-4BDA5A6BC233}"/>
                    </c:ext>
                  </c:extLst>
                </c:dPt>
                <c:dPt>
                  <c:idx val="16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6B-5918-4A61-9771-4BDA5A6BC233}"/>
                    </c:ext>
                  </c:extLst>
                </c:dPt>
                <c:dPt>
                  <c:idx val="16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6D-5918-4A61-9771-4BDA5A6BC233}"/>
                    </c:ext>
                  </c:extLst>
                </c:dPt>
                <c:dPt>
                  <c:idx val="16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6F-5918-4A61-9771-4BDA5A6BC233}"/>
                    </c:ext>
                  </c:extLst>
                </c:dPt>
                <c:dPt>
                  <c:idx val="16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71-5918-4A61-9771-4BDA5A6BC233}"/>
                    </c:ext>
                  </c:extLst>
                </c:dPt>
                <c:dPt>
                  <c:idx val="16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73-5918-4A61-9771-4BDA5A6BC233}"/>
                    </c:ext>
                  </c:extLst>
                </c:dPt>
                <c:dPt>
                  <c:idx val="16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75-5918-4A61-9771-4BDA5A6BC233}"/>
                    </c:ext>
                  </c:extLst>
                </c:dPt>
                <c:dPt>
                  <c:idx val="17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77-5918-4A61-9771-4BDA5A6BC233}"/>
                    </c:ext>
                  </c:extLst>
                </c:dPt>
                <c:dPt>
                  <c:idx val="17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79-5918-4A61-9771-4BDA5A6BC233}"/>
                    </c:ext>
                  </c:extLst>
                </c:dPt>
                <c:dPt>
                  <c:idx val="17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7B-5918-4A61-9771-4BDA5A6BC233}"/>
                    </c:ext>
                  </c:extLst>
                </c:dPt>
                <c:dPt>
                  <c:idx val="17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7D-5918-4A61-9771-4BDA5A6BC233}"/>
                    </c:ext>
                  </c:extLst>
                </c:dPt>
                <c:dPt>
                  <c:idx val="17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7F-5918-4A61-9771-4BDA5A6BC233}"/>
                    </c:ext>
                  </c:extLst>
                </c:dPt>
                <c:dPt>
                  <c:idx val="17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81-5918-4A61-9771-4BDA5A6BC233}"/>
                    </c:ext>
                  </c:extLst>
                </c:dPt>
                <c:dPt>
                  <c:idx val="17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83-5918-4A61-9771-4BDA5A6BC233}"/>
                    </c:ext>
                  </c:extLst>
                </c:dPt>
                <c:dPt>
                  <c:idx val="17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85-5918-4A61-9771-4BDA5A6BC233}"/>
                    </c:ext>
                  </c:extLst>
                </c:dPt>
                <c:dPt>
                  <c:idx val="17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87-5918-4A61-9771-4BDA5A6BC233}"/>
                    </c:ext>
                  </c:extLst>
                </c:dPt>
                <c:dPt>
                  <c:idx val="17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89-5918-4A61-9771-4BDA5A6BC233}"/>
                    </c:ext>
                  </c:extLst>
                </c:dPt>
                <c:dPt>
                  <c:idx val="18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8B-5918-4A61-9771-4BDA5A6BC233}"/>
                    </c:ext>
                  </c:extLst>
                </c:dPt>
                <c:dPt>
                  <c:idx val="18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8D-5918-4A61-9771-4BDA5A6BC233}"/>
                    </c:ext>
                  </c:extLst>
                </c:dPt>
                <c:dPt>
                  <c:idx val="18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8F-5918-4A61-9771-4BDA5A6BC233}"/>
                    </c:ext>
                  </c:extLst>
                </c:dPt>
                <c:dPt>
                  <c:idx val="18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91-5918-4A61-9771-4BDA5A6BC233}"/>
                    </c:ext>
                  </c:extLst>
                </c:dPt>
                <c:dPt>
                  <c:idx val="18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93-5918-4A61-9771-4BDA5A6BC233}"/>
                    </c:ext>
                  </c:extLst>
                </c:dPt>
                <c:dPt>
                  <c:idx val="18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95-5918-4A61-9771-4BDA5A6BC233}"/>
                    </c:ext>
                  </c:extLst>
                </c:dPt>
                <c:dPt>
                  <c:idx val="18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97-5918-4A61-9771-4BDA5A6BC233}"/>
                    </c:ext>
                  </c:extLst>
                </c:dPt>
                <c:dPt>
                  <c:idx val="18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99-5918-4A61-9771-4BDA5A6BC233}"/>
                    </c:ext>
                  </c:extLst>
                </c:dPt>
                <c:dPt>
                  <c:idx val="18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9B-5918-4A61-9771-4BDA5A6BC233}"/>
                    </c:ext>
                  </c:extLst>
                </c:dPt>
                <c:dPt>
                  <c:idx val="18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9D-5918-4A61-9771-4BDA5A6BC233}"/>
                    </c:ext>
                  </c:extLst>
                </c:dPt>
                <c:dPt>
                  <c:idx val="19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9F-5918-4A61-9771-4BDA5A6BC233}"/>
                    </c:ext>
                  </c:extLst>
                </c:dPt>
                <c:dPt>
                  <c:idx val="19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A1-5918-4A61-9771-4BDA5A6BC233}"/>
                    </c:ext>
                  </c:extLst>
                </c:dPt>
                <c:dPt>
                  <c:idx val="19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A3-5918-4A61-9771-4BDA5A6BC233}"/>
                    </c:ext>
                  </c:extLst>
                </c:dPt>
                <c:dPt>
                  <c:idx val="19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A5-5918-4A61-9771-4BDA5A6BC233}"/>
                    </c:ext>
                  </c:extLst>
                </c:dPt>
                <c:dPt>
                  <c:idx val="19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A7-5918-4A61-9771-4BDA5A6BC233}"/>
                    </c:ext>
                  </c:extLst>
                </c:dPt>
                <c:dPt>
                  <c:idx val="19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A9-5918-4A61-9771-4BDA5A6BC233}"/>
                    </c:ext>
                  </c:extLst>
                </c:dPt>
                <c:dPt>
                  <c:idx val="19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AB-5918-4A61-9771-4BDA5A6BC233}"/>
                    </c:ext>
                  </c:extLst>
                </c:dPt>
                <c:dPt>
                  <c:idx val="19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AD-5918-4A61-9771-4BDA5A6BC233}"/>
                    </c:ext>
                  </c:extLst>
                </c:dPt>
                <c:dPt>
                  <c:idx val="19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AF-5918-4A61-9771-4BDA5A6BC233}"/>
                    </c:ext>
                  </c:extLst>
                </c:dPt>
                <c:dPt>
                  <c:idx val="19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B1-5918-4A61-9771-4BDA5A6BC233}"/>
                    </c:ext>
                  </c:extLst>
                </c:dPt>
                <c:dPt>
                  <c:idx val="20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B3-5918-4A61-9771-4BDA5A6BC233}"/>
                    </c:ext>
                  </c:extLst>
                </c:dPt>
                <c:dPt>
                  <c:idx val="20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B5-5918-4A61-9771-4BDA5A6BC233}"/>
                    </c:ext>
                  </c:extLst>
                </c:dPt>
                <c:dPt>
                  <c:idx val="20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B7-5918-4A61-9771-4BDA5A6BC233}"/>
                    </c:ext>
                  </c:extLst>
                </c:dPt>
                <c:dPt>
                  <c:idx val="20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B9-5918-4A61-9771-4BDA5A6BC233}"/>
                    </c:ext>
                  </c:extLst>
                </c:dPt>
                <c:dPt>
                  <c:idx val="20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BB-5918-4A61-9771-4BDA5A6BC233}"/>
                    </c:ext>
                  </c:extLst>
                </c:dPt>
                <c:dPt>
                  <c:idx val="20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BD-5918-4A61-9771-4BDA5A6BC233}"/>
                    </c:ext>
                  </c:extLst>
                </c:dPt>
                <c:dPt>
                  <c:idx val="20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BF-5918-4A61-9771-4BDA5A6BC233}"/>
                    </c:ext>
                  </c:extLst>
                </c:dPt>
                <c:dPt>
                  <c:idx val="20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C1-5918-4A61-9771-4BDA5A6BC233}"/>
                    </c:ext>
                  </c:extLst>
                </c:dPt>
                <c:dPt>
                  <c:idx val="20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C3-5918-4A61-9771-4BDA5A6BC233}"/>
                    </c:ext>
                  </c:extLst>
                </c:dPt>
                <c:dPt>
                  <c:idx val="20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C5-5918-4A61-9771-4BDA5A6BC233}"/>
                    </c:ext>
                  </c:extLst>
                </c:dPt>
                <c:dPt>
                  <c:idx val="21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C7-5918-4A61-9771-4BDA5A6BC233}"/>
                    </c:ext>
                  </c:extLst>
                </c:dPt>
                <c:dPt>
                  <c:idx val="21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C9-5918-4A61-9771-4BDA5A6BC233}"/>
                    </c:ext>
                  </c:extLst>
                </c:dPt>
                <c:dPt>
                  <c:idx val="21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CB-5918-4A61-9771-4BDA5A6BC233}"/>
                    </c:ext>
                  </c:extLst>
                </c:dPt>
                <c:dPt>
                  <c:idx val="21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CD-5918-4A61-9771-4BDA5A6BC233}"/>
                    </c:ext>
                  </c:extLst>
                </c:dPt>
                <c:dPt>
                  <c:idx val="21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CF-5918-4A61-9771-4BDA5A6BC233}"/>
                    </c:ext>
                  </c:extLst>
                </c:dPt>
                <c:dPt>
                  <c:idx val="21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D1-5918-4A61-9771-4BDA5A6BC233}"/>
                    </c:ext>
                  </c:extLst>
                </c:dPt>
                <c:dPt>
                  <c:idx val="21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D3-5918-4A61-9771-4BDA5A6BC233}"/>
                    </c:ext>
                  </c:extLst>
                </c:dPt>
                <c:dPt>
                  <c:idx val="21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D5-5918-4A61-9771-4BDA5A6BC233}"/>
                    </c:ext>
                  </c:extLst>
                </c:dPt>
                <c:dPt>
                  <c:idx val="21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D7-5918-4A61-9771-4BDA5A6BC233}"/>
                    </c:ext>
                  </c:extLst>
                </c:dPt>
                <c:dPt>
                  <c:idx val="21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D9-5918-4A61-9771-4BDA5A6BC233}"/>
                    </c:ext>
                  </c:extLst>
                </c:dPt>
                <c:dPt>
                  <c:idx val="22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DB-5918-4A61-9771-4BDA5A6BC233}"/>
                    </c:ext>
                  </c:extLst>
                </c:dPt>
                <c:dPt>
                  <c:idx val="22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DD-5918-4A61-9771-4BDA5A6BC233}"/>
                    </c:ext>
                  </c:extLst>
                </c:dPt>
                <c:dPt>
                  <c:idx val="22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DF-5918-4A61-9771-4BDA5A6BC233}"/>
                    </c:ext>
                  </c:extLst>
                </c:dPt>
                <c:dPt>
                  <c:idx val="22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E1-5918-4A61-9771-4BDA5A6BC233}"/>
                    </c:ext>
                  </c:extLst>
                </c:dPt>
                <c:dPt>
                  <c:idx val="22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E3-5918-4A61-9771-4BDA5A6BC233}"/>
                    </c:ext>
                  </c:extLst>
                </c:dPt>
                <c:dPt>
                  <c:idx val="22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E5-5918-4A61-9771-4BDA5A6BC233}"/>
                    </c:ext>
                  </c:extLst>
                </c:dPt>
                <c:dPt>
                  <c:idx val="22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E7-5918-4A61-9771-4BDA5A6BC233}"/>
                    </c:ext>
                  </c:extLst>
                </c:dPt>
                <c:dPt>
                  <c:idx val="22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E9-5918-4A61-9771-4BDA5A6BC233}"/>
                    </c:ext>
                  </c:extLst>
                </c:dPt>
                <c:dPt>
                  <c:idx val="22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EB-5918-4A61-9771-4BDA5A6BC233}"/>
                    </c:ext>
                  </c:extLst>
                </c:dPt>
                <c:dPt>
                  <c:idx val="22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ED-5918-4A61-9771-4BDA5A6BC233}"/>
                    </c:ext>
                  </c:extLst>
                </c:dPt>
                <c:dPt>
                  <c:idx val="23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EF-5918-4A61-9771-4BDA5A6BC233}"/>
                    </c:ext>
                  </c:extLst>
                </c:dPt>
                <c:dPt>
                  <c:idx val="23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F1-5918-4A61-9771-4BDA5A6BC233}"/>
                    </c:ext>
                  </c:extLst>
                </c:dPt>
                <c:dPt>
                  <c:idx val="23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F3-5918-4A61-9771-4BDA5A6BC233}"/>
                    </c:ext>
                  </c:extLst>
                </c:dPt>
                <c:dPt>
                  <c:idx val="23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F5-5918-4A61-9771-4BDA5A6BC233}"/>
                    </c:ext>
                  </c:extLst>
                </c:dPt>
                <c:dPt>
                  <c:idx val="23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F7-5918-4A61-9771-4BDA5A6BC233}"/>
                    </c:ext>
                  </c:extLst>
                </c:dPt>
                <c:dPt>
                  <c:idx val="23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F9-5918-4A61-9771-4BDA5A6BC233}"/>
                    </c:ext>
                  </c:extLst>
                </c:dPt>
                <c:dPt>
                  <c:idx val="23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FB-5918-4A61-9771-4BDA5A6BC233}"/>
                    </c:ext>
                  </c:extLst>
                </c:dPt>
                <c:dPt>
                  <c:idx val="23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FD-5918-4A61-9771-4BDA5A6BC233}"/>
                    </c:ext>
                  </c:extLst>
                </c:dPt>
                <c:dPt>
                  <c:idx val="23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FF-5918-4A61-9771-4BDA5A6BC233}"/>
                    </c:ext>
                  </c:extLst>
                </c:dPt>
                <c:dPt>
                  <c:idx val="23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01-5918-4A61-9771-4BDA5A6BC233}"/>
                    </c:ext>
                  </c:extLst>
                </c:dPt>
                <c:dPt>
                  <c:idx val="24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03-5918-4A61-9771-4BDA5A6BC233}"/>
                    </c:ext>
                  </c:extLst>
                </c:dPt>
                <c:dPt>
                  <c:idx val="24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05-5918-4A61-9771-4BDA5A6BC233}"/>
                    </c:ext>
                  </c:extLst>
                </c:dPt>
                <c:dPt>
                  <c:idx val="24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07-5918-4A61-9771-4BDA5A6BC233}"/>
                    </c:ext>
                  </c:extLst>
                </c:dPt>
                <c:dPt>
                  <c:idx val="24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09-5918-4A61-9771-4BDA5A6BC233}"/>
                    </c:ext>
                  </c:extLst>
                </c:dPt>
                <c:dPt>
                  <c:idx val="24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0B-5918-4A61-9771-4BDA5A6BC233}"/>
                    </c:ext>
                  </c:extLst>
                </c:dPt>
                <c:dPt>
                  <c:idx val="24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0D-5918-4A61-9771-4BDA5A6BC233}"/>
                    </c:ext>
                  </c:extLst>
                </c:dPt>
                <c:dPt>
                  <c:idx val="24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0F-5918-4A61-9771-4BDA5A6BC233}"/>
                    </c:ext>
                  </c:extLst>
                </c:dPt>
                <c:dPt>
                  <c:idx val="24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11-5918-4A61-9771-4BDA5A6BC233}"/>
                    </c:ext>
                  </c:extLst>
                </c:dPt>
                <c:dPt>
                  <c:idx val="24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13-5918-4A61-9771-4BDA5A6BC233}"/>
                    </c:ext>
                  </c:extLst>
                </c:dPt>
                <c:dPt>
                  <c:idx val="24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15-5918-4A61-9771-4BDA5A6BC233}"/>
                    </c:ext>
                  </c:extLst>
                </c:dPt>
                <c:dPt>
                  <c:idx val="25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17-5918-4A61-9771-4BDA5A6BC233}"/>
                    </c:ext>
                  </c:extLst>
                </c:dPt>
                <c:dPt>
                  <c:idx val="25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19-5918-4A61-9771-4BDA5A6BC233}"/>
                    </c:ext>
                  </c:extLst>
                </c:dPt>
                <c:dPt>
                  <c:idx val="25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1B-5918-4A61-9771-4BDA5A6BC233}"/>
                    </c:ext>
                  </c:extLst>
                </c:dPt>
                <c:dPt>
                  <c:idx val="25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1D-5918-4A61-9771-4BDA5A6BC233}"/>
                    </c:ext>
                  </c:extLst>
                </c:dPt>
                <c:dPt>
                  <c:idx val="25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1F-5918-4A61-9771-4BDA5A6BC233}"/>
                    </c:ext>
                  </c:extLst>
                </c:dPt>
                <c:dPt>
                  <c:idx val="25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21-5918-4A61-9771-4BDA5A6BC233}"/>
                    </c:ext>
                  </c:extLst>
                </c:dPt>
                <c:dPt>
                  <c:idx val="25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23-5918-4A61-9771-4BDA5A6BC233}"/>
                    </c:ext>
                  </c:extLst>
                </c:dPt>
                <c:dPt>
                  <c:idx val="25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25-5918-4A61-9771-4BDA5A6BC233}"/>
                    </c:ext>
                  </c:extLst>
                </c:dPt>
                <c:dPt>
                  <c:idx val="25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27-5918-4A61-9771-4BDA5A6BC233}"/>
                    </c:ext>
                  </c:extLst>
                </c:dPt>
                <c:dPt>
                  <c:idx val="25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29-5918-4A61-9771-4BDA5A6BC233}"/>
                    </c:ext>
                  </c:extLst>
                </c:dPt>
                <c:dPt>
                  <c:idx val="26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2B-5918-4A61-9771-4BDA5A6BC233}"/>
                    </c:ext>
                  </c:extLst>
                </c:dPt>
                <c:dPt>
                  <c:idx val="26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2D-5918-4A61-9771-4BDA5A6BC233}"/>
                    </c:ext>
                  </c:extLst>
                </c:dPt>
                <c:dPt>
                  <c:idx val="26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2F-5918-4A61-9771-4BDA5A6BC233}"/>
                    </c:ext>
                  </c:extLst>
                </c:dPt>
                <c:dPt>
                  <c:idx val="26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31-5918-4A61-9771-4BDA5A6BC233}"/>
                    </c:ext>
                  </c:extLst>
                </c:dPt>
                <c:dPt>
                  <c:idx val="26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33-5918-4A61-9771-4BDA5A6BC233}"/>
                    </c:ext>
                  </c:extLst>
                </c:dPt>
                <c:dPt>
                  <c:idx val="26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35-5918-4A61-9771-4BDA5A6BC233}"/>
                    </c:ext>
                  </c:extLst>
                </c:dPt>
                <c:dPt>
                  <c:idx val="26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37-5918-4A61-9771-4BDA5A6BC233}"/>
                    </c:ext>
                  </c:extLst>
                </c:dPt>
                <c:dPt>
                  <c:idx val="26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39-5918-4A61-9771-4BDA5A6BC233}"/>
                    </c:ext>
                  </c:extLst>
                </c:dPt>
                <c:dPt>
                  <c:idx val="26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3B-5918-4A61-9771-4BDA5A6BC233}"/>
                    </c:ext>
                  </c:extLst>
                </c:dPt>
                <c:dPt>
                  <c:idx val="26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3D-5918-4A61-9771-4BDA5A6BC233}"/>
                    </c:ext>
                  </c:extLst>
                </c:dPt>
                <c:dPt>
                  <c:idx val="27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3F-5918-4A61-9771-4BDA5A6BC233}"/>
                    </c:ext>
                  </c:extLst>
                </c:dPt>
                <c:dPt>
                  <c:idx val="27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41-5918-4A61-9771-4BDA5A6BC233}"/>
                    </c:ext>
                  </c:extLst>
                </c:dPt>
                <c:dPt>
                  <c:idx val="27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43-5918-4A61-9771-4BDA5A6BC233}"/>
                    </c:ext>
                  </c:extLst>
                </c:dPt>
                <c:dPt>
                  <c:idx val="27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45-5918-4A61-9771-4BDA5A6BC233}"/>
                    </c:ext>
                  </c:extLst>
                </c:dPt>
                <c:dPt>
                  <c:idx val="27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47-5918-4A61-9771-4BDA5A6BC233}"/>
                    </c:ext>
                  </c:extLst>
                </c:dPt>
                <c:dPt>
                  <c:idx val="27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49-5918-4A61-9771-4BDA5A6BC233}"/>
                    </c:ext>
                  </c:extLst>
                </c:dPt>
                <c:dPt>
                  <c:idx val="27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4B-5918-4A61-9771-4BDA5A6BC233}"/>
                    </c:ext>
                  </c:extLst>
                </c:dPt>
                <c:dPt>
                  <c:idx val="27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4D-5918-4A61-9771-4BDA5A6BC233}"/>
                    </c:ext>
                  </c:extLst>
                </c:dPt>
                <c:dPt>
                  <c:idx val="27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4F-5918-4A61-9771-4BDA5A6BC233}"/>
                    </c:ext>
                  </c:extLst>
                </c:dPt>
                <c:dPt>
                  <c:idx val="27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51-5918-4A61-9771-4BDA5A6BC233}"/>
                    </c:ext>
                  </c:extLst>
                </c:dPt>
                <c:dPt>
                  <c:idx val="28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53-5918-4A61-9771-4BDA5A6BC233}"/>
                    </c:ext>
                  </c:extLst>
                </c:dPt>
                <c:dPt>
                  <c:idx val="28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55-5918-4A61-9771-4BDA5A6BC233}"/>
                    </c:ext>
                  </c:extLst>
                </c:dPt>
                <c:dPt>
                  <c:idx val="28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57-5918-4A61-9771-4BDA5A6BC233}"/>
                    </c:ext>
                  </c:extLst>
                </c:dPt>
                <c:dPt>
                  <c:idx val="28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59-5918-4A61-9771-4BDA5A6BC233}"/>
                    </c:ext>
                  </c:extLst>
                </c:dPt>
                <c:dPt>
                  <c:idx val="28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5B-5918-4A61-9771-4BDA5A6BC233}"/>
                    </c:ext>
                  </c:extLst>
                </c:dPt>
                <c:dPt>
                  <c:idx val="28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5D-5918-4A61-9771-4BDA5A6BC233}"/>
                    </c:ext>
                  </c:extLst>
                </c:dPt>
                <c:dPt>
                  <c:idx val="28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5F-5918-4A61-9771-4BDA5A6BC233}"/>
                    </c:ext>
                  </c:extLst>
                </c:dPt>
                <c:dPt>
                  <c:idx val="28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61-5918-4A61-9771-4BDA5A6BC233}"/>
                    </c:ext>
                  </c:extLst>
                </c:dPt>
                <c:dPt>
                  <c:idx val="28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63-5918-4A61-9771-4BDA5A6BC233}"/>
                    </c:ext>
                  </c:extLst>
                </c:dPt>
                <c:dPt>
                  <c:idx val="28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65-5918-4A61-9771-4BDA5A6BC233}"/>
                    </c:ext>
                  </c:extLst>
                </c:dPt>
                <c:dPt>
                  <c:idx val="29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67-5918-4A61-9771-4BDA5A6BC233}"/>
                    </c:ext>
                  </c:extLst>
                </c:dPt>
                <c:dPt>
                  <c:idx val="29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69-5918-4A61-9771-4BDA5A6BC233}"/>
                    </c:ext>
                  </c:extLst>
                </c:dPt>
                <c:dPt>
                  <c:idx val="29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6B-5918-4A61-9771-4BDA5A6BC233}"/>
                    </c:ext>
                  </c:extLst>
                </c:dPt>
                <c:dPt>
                  <c:idx val="29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6D-5918-4A61-9771-4BDA5A6BC233}"/>
                    </c:ext>
                  </c:extLst>
                </c:dPt>
                <c:dPt>
                  <c:idx val="29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6F-5918-4A61-9771-4BDA5A6BC233}"/>
                    </c:ext>
                  </c:extLst>
                </c:dPt>
                <c:dPt>
                  <c:idx val="29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71-5918-4A61-9771-4BDA5A6BC233}"/>
                    </c:ext>
                  </c:extLst>
                </c:dPt>
                <c:dPt>
                  <c:idx val="29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73-5918-4A61-9771-4BDA5A6BC233}"/>
                    </c:ext>
                  </c:extLst>
                </c:dPt>
                <c:dPt>
                  <c:idx val="29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75-5918-4A61-9771-4BDA5A6BC233}"/>
                    </c:ext>
                  </c:extLst>
                </c:dPt>
                <c:dPt>
                  <c:idx val="29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77-5918-4A61-9771-4BDA5A6BC233}"/>
                    </c:ext>
                  </c:extLst>
                </c:dPt>
                <c:dPt>
                  <c:idx val="29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79-5918-4A61-9771-4BDA5A6BC233}"/>
                    </c:ext>
                  </c:extLst>
                </c:dPt>
                <c:dPt>
                  <c:idx val="30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7B-5918-4A61-9771-4BDA5A6BC233}"/>
                    </c:ext>
                  </c:extLst>
                </c:dPt>
                <c:dPt>
                  <c:idx val="30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7D-5918-4A61-9771-4BDA5A6BC233}"/>
                    </c:ext>
                  </c:extLst>
                </c:dPt>
                <c:dPt>
                  <c:idx val="30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7F-5918-4A61-9771-4BDA5A6BC233}"/>
                    </c:ext>
                  </c:extLst>
                </c:dPt>
                <c:dPt>
                  <c:idx val="30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81-5918-4A61-9771-4BDA5A6BC233}"/>
                    </c:ext>
                  </c:extLst>
                </c:dPt>
                <c:dPt>
                  <c:idx val="30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83-5918-4A61-9771-4BDA5A6BC233}"/>
                    </c:ext>
                  </c:extLst>
                </c:dPt>
                <c:dPt>
                  <c:idx val="30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85-5918-4A61-9771-4BDA5A6BC233}"/>
                    </c:ext>
                  </c:extLst>
                </c:dPt>
                <c:dPt>
                  <c:idx val="30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87-5918-4A61-9771-4BDA5A6BC233}"/>
                    </c:ext>
                  </c:extLst>
                </c:dPt>
                <c:dPt>
                  <c:idx val="30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89-5918-4A61-9771-4BDA5A6BC233}"/>
                    </c:ext>
                  </c:extLst>
                </c:dPt>
                <c:dPt>
                  <c:idx val="30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8B-5918-4A61-9771-4BDA5A6BC233}"/>
                    </c:ext>
                  </c:extLst>
                </c:dPt>
                <c:dPt>
                  <c:idx val="30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8D-5918-4A61-9771-4BDA5A6BC233}"/>
                    </c:ext>
                  </c:extLst>
                </c:dPt>
                <c:dPt>
                  <c:idx val="31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8F-5918-4A61-9771-4BDA5A6BC233}"/>
                    </c:ext>
                  </c:extLst>
                </c:dPt>
                <c:dPt>
                  <c:idx val="31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91-5918-4A61-9771-4BDA5A6BC233}"/>
                    </c:ext>
                  </c:extLst>
                </c:dPt>
                <c:dPt>
                  <c:idx val="31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93-5918-4A61-9771-4BDA5A6BC233}"/>
                    </c:ext>
                  </c:extLst>
                </c:dPt>
                <c:dPt>
                  <c:idx val="31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95-5918-4A61-9771-4BDA5A6BC233}"/>
                    </c:ext>
                  </c:extLst>
                </c:dPt>
                <c:dPt>
                  <c:idx val="31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97-5918-4A61-9771-4BDA5A6BC233}"/>
                    </c:ext>
                  </c:extLst>
                </c:dPt>
                <c:dPt>
                  <c:idx val="31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99-5918-4A61-9771-4BDA5A6BC233}"/>
                    </c:ext>
                  </c:extLst>
                </c:dPt>
                <c:dPt>
                  <c:idx val="31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9B-5918-4A61-9771-4BDA5A6BC233}"/>
                    </c:ext>
                  </c:extLst>
                </c:dPt>
                <c:dPt>
                  <c:idx val="31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9D-5918-4A61-9771-4BDA5A6BC233}"/>
                    </c:ext>
                  </c:extLst>
                </c:dPt>
                <c:dPt>
                  <c:idx val="31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9F-5918-4A61-9771-4BDA5A6BC233}"/>
                    </c:ext>
                  </c:extLst>
                </c:dPt>
                <c:dPt>
                  <c:idx val="31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A1-5918-4A61-9771-4BDA5A6BC233}"/>
                    </c:ext>
                  </c:extLst>
                </c:dPt>
                <c:dPt>
                  <c:idx val="32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A3-5918-4A61-9771-4BDA5A6BC233}"/>
                    </c:ext>
                  </c:extLst>
                </c:dPt>
                <c:dPt>
                  <c:idx val="32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A5-5918-4A61-9771-4BDA5A6BC233}"/>
                    </c:ext>
                  </c:extLst>
                </c:dPt>
                <c:dPt>
                  <c:idx val="32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A7-5918-4A61-9771-4BDA5A6BC233}"/>
                    </c:ext>
                  </c:extLst>
                </c:dPt>
                <c:dPt>
                  <c:idx val="32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A9-5918-4A61-9771-4BDA5A6BC233}"/>
                    </c:ext>
                  </c:extLst>
                </c:dPt>
                <c:dPt>
                  <c:idx val="32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AB-5918-4A61-9771-4BDA5A6BC233}"/>
                    </c:ext>
                  </c:extLst>
                </c:dPt>
                <c:dPt>
                  <c:idx val="32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AD-5918-4A61-9771-4BDA5A6BC233}"/>
                    </c:ext>
                  </c:extLst>
                </c:dPt>
                <c:dPt>
                  <c:idx val="32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AF-5918-4A61-9771-4BDA5A6BC233}"/>
                    </c:ext>
                  </c:extLst>
                </c:dPt>
                <c:dPt>
                  <c:idx val="32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B1-5918-4A61-9771-4BDA5A6BC233}"/>
                    </c:ext>
                  </c:extLst>
                </c:dPt>
                <c:dPt>
                  <c:idx val="32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B3-5918-4A61-9771-4BDA5A6BC233}"/>
                    </c:ext>
                  </c:extLst>
                </c:dPt>
                <c:dPt>
                  <c:idx val="32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B5-5918-4A61-9771-4BDA5A6BC233}"/>
                    </c:ext>
                  </c:extLst>
                </c:dPt>
                <c:dPt>
                  <c:idx val="33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B7-5918-4A61-9771-4BDA5A6BC233}"/>
                    </c:ext>
                  </c:extLst>
                </c:dPt>
                <c:dPt>
                  <c:idx val="33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B9-5918-4A61-9771-4BDA5A6BC233}"/>
                    </c:ext>
                  </c:extLst>
                </c:dPt>
                <c:dPt>
                  <c:idx val="33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BB-5918-4A61-9771-4BDA5A6BC233}"/>
                    </c:ext>
                  </c:extLst>
                </c:dPt>
                <c:dPt>
                  <c:idx val="33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BD-5918-4A61-9771-4BDA5A6BC233}"/>
                    </c:ext>
                  </c:extLst>
                </c:dPt>
                <c:dPt>
                  <c:idx val="33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BF-5918-4A61-9771-4BDA5A6BC233}"/>
                    </c:ext>
                  </c:extLst>
                </c:dPt>
                <c:dPt>
                  <c:idx val="33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C1-5918-4A61-9771-4BDA5A6BC233}"/>
                    </c:ext>
                  </c:extLst>
                </c:dPt>
                <c:dPt>
                  <c:idx val="33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C3-5918-4A61-9771-4BDA5A6BC233}"/>
                    </c:ext>
                  </c:extLst>
                </c:dPt>
                <c:dPt>
                  <c:idx val="33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C5-5918-4A61-9771-4BDA5A6BC233}"/>
                    </c:ext>
                  </c:extLst>
                </c:dPt>
                <c:dPt>
                  <c:idx val="33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C7-5918-4A61-9771-4BDA5A6BC233}"/>
                    </c:ext>
                  </c:extLst>
                </c:dPt>
                <c:dPt>
                  <c:idx val="33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C9-5918-4A61-9771-4BDA5A6BC233}"/>
                    </c:ext>
                  </c:extLst>
                </c:dPt>
                <c:dPt>
                  <c:idx val="34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CB-5918-4A61-9771-4BDA5A6BC233}"/>
                    </c:ext>
                  </c:extLst>
                </c:dPt>
                <c:dPt>
                  <c:idx val="34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CD-5918-4A61-9771-4BDA5A6BC233}"/>
                    </c:ext>
                  </c:extLst>
                </c:dPt>
                <c:dPt>
                  <c:idx val="34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CF-5918-4A61-9771-4BDA5A6BC233}"/>
                    </c:ext>
                  </c:extLst>
                </c:dPt>
                <c:dPt>
                  <c:idx val="34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D1-5918-4A61-9771-4BDA5A6BC233}"/>
                    </c:ext>
                  </c:extLst>
                </c:dPt>
                <c:dPt>
                  <c:idx val="34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D3-5918-4A61-9771-4BDA5A6BC233}"/>
                    </c:ext>
                  </c:extLst>
                </c:dPt>
                <c:dPt>
                  <c:idx val="34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D5-5918-4A61-9771-4BDA5A6BC233}"/>
                    </c:ext>
                  </c:extLst>
                </c:dPt>
                <c:dPt>
                  <c:idx val="34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D7-5918-4A61-9771-4BDA5A6BC233}"/>
                    </c:ext>
                  </c:extLst>
                </c:dPt>
                <c:dPt>
                  <c:idx val="34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D9-5918-4A61-9771-4BDA5A6BC233}"/>
                    </c:ext>
                  </c:extLst>
                </c:dPt>
                <c:dPt>
                  <c:idx val="34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DB-5918-4A61-9771-4BDA5A6BC233}"/>
                    </c:ext>
                  </c:extLst>
                </c:dPt>
                <c:dPt>
                  <c:idx val="34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DD-5918-4A61-9771-4BDA5A6BC233}"/>
                    </c:ext>
                  </c:extLst>
                </c:dPt>
                <c:dPt>
                  <c:idx val="35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DF-5918-4A61-9771-4BDA5A6BC233}"/>
                    </c:ext>
                  </c:extLst>
                </c:dPt>
                <c:dPt>
                  <c:idx val="35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E1-5918-4A61-9771-4BDA5A6BC233}"/>
                    </c:ext>
                  </c:extLst>
                </c:dPt>
                <c:dPt>
                  <c:idx val="35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E3-5918-4A61-9771-4BDA5A6BC233}"/>
                    </c:ext>
                  </c:extLst>
                </c:dPt>
                <c:dPt>
                  <c:idx val="35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E5-5918-4A61-9771-4BDA5A6BC233}"/>
                    </c:ext>
                  </c:extLst>
                </c:dPt>
                <c:dPt>
                  <c:idx val="35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E7-5918-4A61-9771-4BDA5A6BC233}"/>
                    </c:ext>
                  </c:extLst>
                </c:dPt>
                <c:dPt>
                  <c:idx val="35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E9-5918-4A61-9771-4BDA5A6BC233}"/>
                    </c:ext>
                  </c:extLst>
                </c:dPt>
                <c:dPt>
                  <c:idx val="35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EB-5918-4A61-9771-4BDA5A6BC233}"/>
                    </c:ext>
                  </c:extLst>
                </c:dPt>
                <c:dPt>
                  <c:idx val="35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ED-5918-4A61-9771-4BDA5A6BC233}"/>
                    </c:ext>
                  </c:extLst>
                </c:dPt>
                <c:dPt>
                  <c:idx val="35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EF-5918-4A61-9771-4BDA5A6BC233}"/>
                    </c:ext>
                  </c:extLst>
                </c:dPt>
                <c:dPt>
                  <c:idx val="35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F1-5918-4A61-9771-4BDA5A6BC233}"/>
                    </c:ext>
                  </c:extLst>
                </c:dPt>
                <c:dPt>
                  <c:idx val="36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F3-5918-4A61-9771-4BDA5A6BC233}"/>
                    </c:ext>
                  </c:extLst>
                </c:dPt>
                <c:dPt>
                  <c:idx val="36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F5-5918-4A61-9771-4BDA5A6BC233}"/>
                    </c:ext>
                  </c:extLst>
                </c:dPt>
                <c:dPt>
                  <c:idx val="36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F7-5918-4A61-9771-4BDA5A6BC233}"/>
                    </c:ext>
                  </c:extLst>
                </c:dPt>
                <c:dPt>
                  <c:idx val="36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F9-5918-4A61-9771-4BDA5A6BC233}"/>
                    </c:ext>
                  </c:extLst>
                </c:dPt>
                <c:dPt>
                  <c:idx val="36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FB-5918-4A61-9771-4BDA5A6BC233}"/>
                    </c:ext>
                  </c:extLst>
                </c:dPt>
                <c:dPt>
                  <c:idx val="36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FD-5918-4A61-9771-4BDA5A6BC233}"/>
                    </c:ext>
                  </c:extLst>
                </c:dPt>
                <c:dPt>
                  <c:idx val="36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FF-5918-4A61-9771-4BDA5A6BC233}"/>
                    </c:ext>
                  </c:extLst>
                </c:dPt>
                <c:dPt>
                  <c:idx val="36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01-5918-4A61-9771-4BDA5A6BC233}"/>
                    </c:ext>
                  </c:extLst>
                </c:dPt>
                <c:dPt>
                  <c:idx val="36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03-5918-4A61-9771-4BDA5A6BC233}"/>
                    </c:ext>
                  </c:extLst>
                </c:dPt>
                <c:dPt>
                  <c:idx val="36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05-5918-4A61-9771-4BDA5A6BC233}"/>
                    </c:ext>
                  </c:extLst>
                </c:dPt>
                <c:dPt>
                  <c:idx val="37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07-5918-4A61-9771-4BDA5A6BC233}"/>
                    </c:ext>
                  </c:extLst>
                </c:dPt>
                <c:dPt>
                  <c:idx val="37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09-5918-4A61-9771-4BDA5A6BC233}"/>
                    </c:ext>
                  </c:extLst>
                </c:dPt>
                <c:dPt>
                  <c:idx val="37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0B-5918-4A61-9771-4BDA5A6BC233}"/>
                    </c:ext>
                  </c:extLst>
                </c:dPt>
                <c:dPt>
                  <c:idx val="37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0D-5918-4A61-9771-4BDA5A6BC233}"/>
                    </c:ext>
                  </c:extLst>
                </c:dPt>
                <c:dPt>
                  <c:idx val="37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0F-5918-4A61-9771-4BDA5A6BC233}"/>
                    </c:ext>
                  </c:extLst>
                </c:dPt>
                <c:dPt>
                  <c:idx val="37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11-5918-4A61-9771-4BDA5A6BC233}"/>
                    </c:ext>
                  </c:extLst>
                </c:dPt>
                <c:dPt>
                  <c:idx val="37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13-5918-4A61-9771-4BDA5A6BC233}"/>
                    </c:ext>
                  </c:extLst>
                </c:dPt>
                <c:dPt>
                  <c:idx val="37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15-5918-4A61-9771-4BDA5A6BC233}"/>
                    </c:ext>
                  </c:extLst>
                </c:dPt>
                <c:dPt>
                  <c:idx val="37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17-5918-4A61-9771-4BDA5A6BC233}"/>
                    </c:ext>
                  </c:extLst>
                </c:dPt>
                <c:dPt>
                  <c:idx val="37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19-5918-4A61-9771-4BDA5A6BC233}"/>
                    </c:ext>
                  </c:extLst>
                </c:dPt>
                <c:dPt>
                  <c:idx val="38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1B-5918-4A61-9771-4BDA5A6BC233}"/>
                    </c:ext>
                  </c:extLst>
                </c:dPt>
                <c:dPt>
                  <c:idx val="38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1D-5918-4A61-9771-4BDA5A6BC233}"/>
                    </c:ext>
                  </c:extLst>
                </c:dPt>
                <c:dPt>
                  <c:idx val="38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1F-5918-4A61-9771-4BDA5A6BC233}"/>
                    </c:ext>
                  </c:extLst>
                </c:dPt>
                <c:dPt>
                  <c:idx val="38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21-5918-4A61-9771-4BDA5A6BC233}"/>
                    </c:ext>
                  </c:extLst>
                </c:dPt>
                <c:dPt>
                  <c:idx val="38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23-5918-4A61-9771-4BDA5A6BC233}"/>
                    </c:ext>
                  </c:extLst>
                </c:dPt>
                <c:dPt>
                  <c:idx val="38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25-5918-4A61-9771-4BDA5A6BC233}"/>
                    </c:ext>
                  </c:extLst>
                </c:dPt>
                <c:dPt>
                  <c:idx val="38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27-5918-4A61-9771-4BDA5A6BC233}"/>
                    </c:ext>
                  </c:extLst>
                </c:dPt>
                <c:dPt>
                  <c:idx val="38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29-5918-4A61-9771-4BDA5A6BC233}"/>
                    </c:ext>
                  </c:extLst>
                </c:dPt>
                <c:dPt>
                  <c:idx val="38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2B-5918-4A61-9771-4BDA5A6BC233}"/>
                    </c:ext>
                  </c:extLst>
                </c:dPt>
                <c:dPt>
                  <c:idx val="38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2D-5918-4A61-9771-4BDA5A6BC233}"/>
                    </c:ext>
                  </c:extLst>
                </c:dPt>
                <c:dPt>
                  <c:idx val="39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2F-5918-4A61-9771-4BDA5A6BC233}"/>
                    </c:ext>
                  </c:extLst>
                </c:dPt>
                <c:dPt>
                  <c:idx val="39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31-5918-4A61-9771-4BDA5A6BC233}"/>
                    </c:ext>
                  </c:extLst>
                </c:dPt>
                <c:dPt>
                  <c:idx val="39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33-5918-4A61-9771-4BDA5A6BC233}"/>
                    </c:ext>
                  </c:extLst>
                </c:dPt>
                <c:dPt>
                  <c:idx val="39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35-5918-4A61-9771-4BDA5A6BC233}"/>
                    </c:ext>
                  </c:extLst>
                </c:dPt>
                <c:dPt>
                  <c:idx val="39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37-5918-4A61-9771-4BDA5A6BC233}"/>
                    </c:ext>
                  </c:extLst>
                </c:dPt>
                <c:dPt>
                  <c:idx val="39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39-5918-4A61-9771-4BDA5A6BC233}"/>
                    </c:ext>
                  </c:extLst>
                </c:dPt>
                <c:dPt>
                  <c:idx val="39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3B-5918-4A61-9771-4BDA5A6BC233}"/>
                    </c:ext>
                  </c:extLst>
                </c:dPt>
                <c:dPt>
                  <c:idx val="39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3D-5918-4A61-9771-4BDA5A6BC233}"/>
                    </c:ext>
                  </c:extLst>
                </c:dPt>
                <c:dPt>
                  <c:idx val="39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3F-5918-4A61-9771-4BDA5A6BC233}"/>
                    </c:ext>
                  </c:extLst>
                </c:dPt>
                <c:dPt>
                  <c:idx val="39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41-5918-4A61-9771-4BDA5A6BC233}"/>
                    </c:ext>
                  </c:extLst>
                </c:dPt>
                <c:dPt>
                  <c:idx val="40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43-5918-4A61-9771-4BDA5A6BC233}"/>
                    </c:ext>
                  </c:extLst>
                </c:dPt>
                <c:dPt>
                  <c:idx val="40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45-5918-4A61-9771-4BDA5A6BC233}"/>
                    </c:ext>
                  </c:extLst>
                </c:dPt>
                <c:dPt>
                  <c:idx val="40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47-5918-4A61-9771-4BDA5A6BC233}"/>
                    </c:ext>
                  </c:extLst>
                </c:dPt>
                <c:dPt>
                  <c:idx val="40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49-5918-4A61-9771-4BDA5A6BC233}"/>
                    </c:ext>
                  </c:extLst>
                </c:dPt>
                <c:dPt>
                  <c:idx val="40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4B-5918-4A61-9771-4BDA5A6BC233}"/>
                    </c:ext>
                  </c:extLst>
                </c:dPt>
                <c:dPt>
                  <c:idx val="40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4D-5918-4A61-9771-4BDA5A6BC233}"/>
                    </c:ext>
                  </c:extLst>
                </c:dPt>
                <c:dPt>
                  <c:idx val="40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4F-5918-4A61-9771-4BDA5A6BC233}"/>
                    </c:ext>
                  </c:extLst>
                </c:dPt>
                <c:dPt>
                  <c:idx val="40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51-5918-4A61-9771-4BDA5A6BC233}"/>
                    </c:ext>
                  </c:extLst>
                </c:dPt>
                <c:dPt>
                  <c:idx val="40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53-5918-4A61-9771-4BDA5A6BC233}"/>
                    </c:ext>
                  </c:extLst>
                </c:dPt>
                <c:dPt>
                  <c:idx val="40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55-5918-4A61-9771-4BDA5A6BC233}"/>
                    </c:ext>
                  </c:extLst>
                </c:dPt>
                <c:dPt>
                  <c:idx val="41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57-5918-4A61-9771-4BDA5A6BC233}"/>
                    </c:ext>
                  </c:extLst>
                </c:dPt>
                <c:dPt>
                  <c:idx val="41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59-5918-4A61-9771-4BDA5A6BC233}"/>
                    </c:ext>
                  </c:extLst>
                </c:dPt>
                <c:dPt>
                  <c:idx val="41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5B-5918-4A61-9771-4BDA5A6BC233}"/>
                    </c:ext>
                  </c:extLst>
                </c:dPt>
                <c:dPt>
                  <c:idx val="41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5D-5918-4A61-9771-4BDA5A6BC233}"/>
                    </c:ext>
                  </c:extLst>
                </c:dPt>
                <c:dPt>
                  <c:idx val="41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5F-5918-4A61-9771-4BDA5A6BC233}"/>
                    </c:ext>
                  </c:extLst>
                </c:dPt>
                <c:dPt>
                  <c:idx val="41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61-5918-4A61-9771-4BDA5A6BC233}"/>
                    </c:ext>
                  </c:extLst>
                </c:dPt>
                <c:dPt>
                  <c:idx val="41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63-5918-4A61-9771-4BDA5A6BC233}"/>
                    </c:ext>
                  </c:extLst>
                </c:dPt>
                <c:dPt>
                  <c:idx val="41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65-5918-4A61-9771-4BDA5A6BC233}"/>
                    </c:ext>
                  </c:extLst>
                </c:dPt>
                <c:dPt>
                  <c:idx val="41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67-5918-4A61-9771-4BDA5A6BC233}"/>
                    </c:ext>
                  </c:extLst>
                </c:dPt>
                <c:dPt>
                  <c:idx val="41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69-5918-4A61-9771-4BDA5A6BC233}"/>
                    </c:ext>
                  </c:extLst>
                </c:dPt>
                <c:dPt>
                  <c:idx val="42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6B-5918-4A61-9771-4BDA5A6BC233}"/>
                    </c:ext>
                  </c:extLst>
                </c:dPt>
                <c:dPt>
                  <c:idx val="42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6D-5918-4A61-9771-4BDA5A6BC233}"/>
                    </c:ext>
                  </c:extLst>
                </c:dPt>
                <c:dPt>
                  <c:idx val="42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6F-5918-4A61-9771-4BDA5A6BC233}"/>
                    </c:ext>
                  </c:extLst>
                </c:dPt>
                <c:dPt>
                  <c:idx val="42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71-5918-4A61-9771-4BDA5A6BC233}"/>
                    </c:ext>
                  </c:extLst>
                </c:dPt>
                <c:dPt>
                  <c:idx val="42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73-5918-4A61-9771-4BDA5A6BC233}"/>
                    </c:ext>
                  </c:extLst>
                </c:dPt>
                <c:dPt>
                  <c:idx val="42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75-5918-4A61-9771-4BDA5A6BC233}"/>
                    </c:ext>
                  </c:extLst>
                </c:dPt>
                <c:dPt>
                  <c:idx val="42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77-5918-4A61-9771-4BDA5A6BC233}"/>
                    </c:ext>
                  </c:extLst>
                </c:dPt>
                <c:dPt>
                  <c:idx val="42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79-5918-4A61-9771-4BDA5A6BC233}"/>
                    </c:ext>
                  </c:extLst>
                </c:dPt>
                <c:dPt>
                  <c:idx val="42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7B-5918-4A61-9771-4BDA5A6BC233}"/>
                    </c:ext>
                  </c:extLst>
                </c:dPt>
                <c:dPt>
                  <c:idx val="42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7D-5918-4A61-9771-4BDA5A6BC233}"/>
                    </c:ext>
                  </c:extLst>
                </c:dPt>
                <c:dPt>
                  <c:idx val="43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7F-5918-4A61-9771-4BDA5A6BC233}"/>
                    </c:ext>
                  </c:extLst>
                </c:dPt>
                <c:dPt>
                  <c:idx val="43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81-5918-4A61-9771-4BDA5A6BC233}"/>
                    </c:ext>
                  </c:extLst>
                </c:dPt>
                <c:dPt>
                  <c:idx val="43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83-5918-4A61-9771-4BDA5A6BC233}"/>
                    </c:ext>
                  </c:extLst>
                </c:dPt>
                <c:dPt>
                  <c:idx val="43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85-5918-4A61-9771-4BDA5A6BC233}"/>
                    </c:ext>
                  </c:extLst>
                </c:dPt>
                <c:dPt>
                  <c:idx val="43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87-5918-4A61-9771-4BDA5A6BC233}"/>
                    </c:ext>
                  </c:extLst>
                </c:dPt>
                <c:dPt>
                  <c:idx val="43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89-5918-4A61-9771-4BDA5A6BC233}"/>
                    </c:ext>
                  </c:extLst>
                </c:dPt>
                <c:dPt>
                  <c:idx val="43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8B-5918-4A61-9771-4BDA5A6BC233}"/>
                    </c:ext>
                  </c:extLst>
                </c:dPt>
                <c:dPt>
                  <c:idx val="43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8D-5918-4A61-9771-4BDA5A6BC233}"/>
                    </c:ext>
                  </c:extLst>
                </c:dPt>
                <c:dPt>
                  <c:idx val="43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8F-5918-4A61-9771-4BDA5A6BC233}"/>
                    </c:ext>
                  </c:extLst>
                </c:dPt>
                <c:dPt>
                  <c:idx val="43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91-5918-4A61-9771-4BDA5A6BC233}"/>
                    </c:ext>
                  </c:extLst>
                </c:dPt>
                <c:dPt>
                  <c:idx val="44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93-5918-4A61-9771-4BDA5A6BC233}"/>
                    </c:ext>
                  </c:extLst>
                </c:dPt>
                <c:dPt>
                  <c:idx val="44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95-5918-4A61-9771-4BDA5A6BC233}"/>
                    </c:ext>
                  </c:extLst>
                </c:dPt>
                <c:dPt>
                  <c:idx val="44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97-5918-4A61-9771-4BDA5A6BC233}"/>
                    </c:ext>
                  </c:extLst>
                </c:dPt>
                <c:dPt>
                  <c:idx val="44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99-5918-4A61-9771-4BDA5A6BC233}"/>
                    </c:ext>
                  </c:extLst>
                </c:dPt>
                <c:dPt>
                  <c:idx val="44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9B-5918-4A61-9771-4BDA5A6BC233}"/>
                    </c:ext>
                  </c:extLst>
                </c:dPt>
                <c:dPt>
                  <c:idx val="44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9D-5918-4A61-9771-4BDA5A6BC233}"/>
                    </c:ext>
                  </c:extLst>
                </c:dPt>
                <c:dPt>
                  <c:idx val="44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9F-5918-4A61-9771-4BDA5A6BC233}"/>
                    </c:ext>
                  </c:extLst>
                </c:dPt>
                <c:dPt>
                  <c:idx val="44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A1-5918-4A61-9771-4BDA5A6BC233}"/>
                    </c:ext>
                  </c:extLst>
                </c:dPt>
                <c:dPt>
                  <c:idx val="44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A3-5918-4A61-9771-4BDA5A6BC233}"/>
                    </c:ext>
                  </c:extLst>
                </c:dPt>
                <c:dPt>
                  <c:idx val="44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A5-5918-4A61-9771-4BDA5A6BC233}"/>
                    </c:ext>
                  </c:extLst>
                </c:dPt>
                <c:dPt>
                  <c:idx val="45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A7-5918-4A61-9771-4BDA5A6BC233}"/>
                    </c:ext>
                  </c:extLst>
                </c:dPt>
                <c:dPt>
                  <c:idx val="45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A9-5918-4A61-9771-4BDA5A6BC233}"/>
                    </c:ext>
                  </c:extLst>
                </c:dPt>
                <c:dPt>
                  <c:idx val="45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AB-5918-4A61-9771-4BDA5A6BC233}"/>
                    </c:ext>
                  </c:extLst>
                </c:dPt>
                <c:dPt>
                  <c:idx val="45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AD-5918-4A61-9771-4BDA5A6BC233}"/>
                    </c:ext>
                  </c:extLst>
                </c:dPt>
                <c:dPt>
                  <c:idx val="45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AF-5918-4A61-9771-4BDA5A6BC233}"/>
                    </c:ext>
                  </c:extLst>
                </c:dPt>
                <c:dPt>
                  <c:idx val="45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B1-5918-4A61-9771-4BDA5A6BC233}"/>
                    </c:ext>
                  </c:extLst>
                </c:dPt>
                <c:dPt>
                  <c:idx val="45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B3-5918-4A61-9771-4BDA5A6BC233}"/>
                    </c:ext>
                  </c:extLst>
                </c:dPt>
                <c:dPt>
                  <c:idx val="45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B5-5918-4A61-9771-4BDA5A6BC233}"/>
                    </c:ext>
                  </c:extLst>
                </c:dPt>
                <c:dPt>
                  <c:idx val="45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B7-5918-4A61-9771-4BDA5A6BC233}"/>
                    </c:ext>
                  </c:extLst>
                </c:dPt>
                <c:dPt>
                  <c:idx val="45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B9-5918-4A61-9771-4BDA5A6BC233}"/>
                    </c:ext>
                  </c:extLst>
                </c:dPt>
                <c:dPt>
                  <c:idx val="46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BB-5918-4A61-9771-4BDA5A6BC233}"/>
                    </c:ext>
                  </c:extLst>
                </c:dPt>
                <c:dPt>
                  <c:idx val="46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BD-5918-4A61-9771-4BDA5A6BC233}"/>
                    </c:ext>
                  </c:extLst>
                </c:dPt>
                <c:dPt>
                  <c:idx val="46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BF-5918-4A61-9771-4BDA5A6BC233}"/>
                    </c:ext>
                  </c:extLst>
                </c:dPt>
                <c:dPt>
                  <c:idx val="46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C1-5918-4A61-9771-4BDA5A6BC233}"/>
                    </c:ext>
                  </c:extLst>
                </c:dPt>
                <c:dPt>
                  <c:idx val="46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C3-5918-4A61-9771-4BDA5A6BC233}"/>
                    </c:ext>
                  </c:extLst>
                </c:dPt>
                <c:dPt>
                  <c:idx val="46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C5-5918-4A61-9771-4BDA5A6BC233}"/>
                    </c:ext>
                  </c:extLst>
                </c:dPt>
                <c:dPt>
                  <c:idx val="46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C7-5918-4A61-9771-4BDA5A6BC233}"/>
                    </c:ext>
                  </c:extLst>
                </c:dPt>
                <c:dPt>
                  <c:idx val="46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C9-5918-4A61-9771-4BDA5A6BC233}"/>
                    </c:ext>
                  </c:extLst>
                </c:dPt>
                <c:dPt>
                  <c:idx val="46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CB-5918-4A61-9771-4BDA5A6BC233}"/>
                    </c:ext>
                  </c:extLst>
                </c:dPt>
                <c:dPt>
                  <c:idx val="46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CD-5918-4A61-9771-4BDA5A6BC233}"/>
                    </c:ext>
                  </c:extLst>
                </c:dPt>
                <c:dPt>
                  <c:idx val="47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CF-5918-4A61-9771-4BDA5A6BC233}"/>
                    </c:ext>
                  </c:extLst>
                </c:dPt>
                <c:dPt>
                  <c:idx val="47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D1-5918-4A61-9771-4BDA5A6BC233}"/>
                    </c:ext>
                  </c:extLst>
                </c:dPt>
                <c:dPt>
                  <c:idx val="47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D3-5918-4A61-9771-4BDA5A6BC233}"/>
                    </c:ext>
                  </c:extLst>
                </c:dPt>
                <c:dPt>
                  <c:idx val="47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D5-5918-4A61-9771-4BDA5A6BC233}"/>
                    </c:ext>
                  </c:extLst>
                </c:dPt>
                <c:dPt>
                  <c:idx val="47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D7-5918-4A61-9771-4BDA5A6BC233}"/>
                    </c:ext>
                  </c:extLst>
                </c:dPt>
                <c:dPt>
                  <c:idx val="47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D9-5918-4A61-9771-4BDA5A6BC233}"/>
                    </c:ext>
                  </c:extLst>
                </c:dPt>
                <c:dPt>
                  <c:idx val="47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DB-5918-4A61-9771-4BDA5A6BC233}"/>
                    </c:ext>
                  </c:extLst>
                </c:dPt>
                <c:dPt>
                  <c:idx val="47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DD-5918-4A61-9771-4BDA5A6BC233}"/>
                    </c:ext>
                  </c:extLst>
                </c:dPt>
                <c:dPt>
                  <c:idx val="47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DF-5918-4A61-9771-4BDA5A6BC233}"/>
                    </c:ext>
                  </c:extLst>
                </c:dPt>
                <c:dPt>
                  <c:idx val="47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E1-5918-4A61-9771-4BDA5A6BC233}"/>
                    </c:ext>
                  </c:extLst>
                </c:dPt>
                <c:dPt>
                  <c:idx val="48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E3-5918-4A61-9771-4BDA5A6BC233}"/>
                    </c:ext>
                  </c:extLst>
                </c:dPt>
                <c:dPt>
                  <c:idx val="48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E5-5918-4A61-9771-4BDA5A6BC233}"/>
                    </c:ext>
                  </c:extLst>
                </c:dPt>
                <c:dPt>
                  <c:idx val="48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E7-5918-4A61-9771-4BDA5A6BC233}"/>
                    </c:ext>
                  </c:extLst>
                </c:dPt>
                <c:dPt>
                  <c:idx val="48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E9-5918-4A61-9771-4BDA5A6BC233}"/>
                    </c:ext>
                  </c:extLst>
                </c:dPt>
                <c:dPt>
                  <c:idx val="48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EB-5918-4A61-9771-4BDA5A6BC233}"/>
                    </c:ext>
                  </c:extLst>
                </c:dPt>
                <c:dPt>
                  <c:idx val="48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ED-5918-4A61-9771-4BDA5A6BC233}"/>
                    </c:ext>
                  </c:extLst>
                </c:dPt>
                <c:dPt>
                  <c:idx val="48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EF-5918-4A61-9771-4BDA5A6BC233}"/>
                    </c:ext>
                  </c:extLst>
                </c:dPt>
                <c:dPt>
                  <c:idx val="48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F1-5918-4A61-9771-4BDA5A6BC233}"/>
                    </c:ext>
                  </c:extLst>
                </c:dPt>
                <c:dPt>
                  <c:idx val="48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F3-5918-4A61-9771-4BDA5A6BC233}"/>
                    </c:ext>
                  </c:extLst>
                </c:dPt>
                <c:dPt>
                  <c:idx val="48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F5-5918-4A61-9771-4BDA5A6BC233}"/>
                    </c:ext>
                  </c:extLst>
                </c:dPt>
                <c:dPt>
                  <c:idx val="49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F7-5918-4A61-9771-4BDA5A6BC233}"/>
                    </c:ext>
                  </c:extLst>
                </c:dPt>
                <c:dPt>
                  <c:idx val="49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F9-5918-4A61-9771-4BDA5A6BC233}"/>
                    </c:ext>
                  </c:extLst>
                </c:dPt>
                <c:dPt>
                  <c:idx val="49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FB-5918-4A61-9771-4BDA5A6BC233}"/>
                    </c:ext>
                  </c:extLst>
                </c:dPt>
                <c:dPt>
                  <c:idx val="49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FD-5918-4A61-9771-4BDA5A6BC233}"/>
                    </c:ext>
                  </c:extLst>
                </c:dPt>
                <c:dPt>
                  <c:idx val="49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FF-5918-4A61-9771-4BDA5A6BC233}"/>
                    </c:ext>
                  </c:extLst>
                </c:dPt>
                <c:dPt>
                  <c:idx val="49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01-5918-4A61-9771-4BDA5A6BC233}"/>
                    </c:ext>
                  </c:extLst>
                </c:dPt>
                <c:dPt>
                  <c:idx val="49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03-5918-4A61-9771-4BDA5A6BC233}"/>
                    </c:ext>
                  </c:extLst>
                </c:dPt>
                <c:dPt>
                  <c:idx val="49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05-5918-4A61-9771-4BDA5A6BC233}"/>
                    </c:ext>
                  </c:extLst>
                </c:dPt>
                <c:dPt>
                  <c:idx val="49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07-5918-4A61-9771-4BDA5A6BC233}"/>
                    </c:ext>
                  </c:extLst>
                </c:dPt>
                <c:dPt>
                  <c:idx val="49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09-5918-4A61-9771-4BDA5A6BC233}"/>
                    </c:ext>
                  </c:extLst>
                </c:dPt>
                <c:dPt>
                  <c:idx val="50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0B-5918-4A61-9771-4BDA5A6BC233}"/>
                    </c:ext>
                  </c:extLst>
                </c:dPt>
                <c:dPt>
                  <c:idx val="50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0D-5918-4A61-9771-4BDA5A6BC233}"/>
                    </c:ext>
                  </c:extLst>
                </c:dPt>
                <c:dPt>
                  <c:idx val="50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0F-5918-4A61-9771-4BDA5A6BC233}"/>
                    </c:ext>
                  </c:extLst>
                </c:dPt>
                <c:dPt>
                  <c:idx val="50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11-5918-4A61-9771-4BDA5A6BC233}"/>
                    </c:ext>
                  </c:extLst>
                </c:dPt>
                <c:dPt>
                  <c:idx val="50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13-5918-4A61-9771-4BDA5A6BC233}"/>
                    </c:ext>
                  </c:extLst>
                </c:dPt>
                <c:dPt>
                  <c:idx val="50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15-5918-4A61-9771-4BDA5A6BC233}"/>
                    </c:ext>
                  </c:extLst>
                </c:dPt>
                <c:dPt>
                  <c:idx val="50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17-5918-4A61-9771-4BDA5A6BC233}"/>
                    </c:ext>
                  </c:extLst>
                </c:dPt>
                <c:dPt>
                  <c:idx val="50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19-5918-4A61-9771-4BDA5A6BC233}"/>
                    </c:ext>
                  </c:extLst>
                </c:dPt>
                <c:dPt>
                  <c:idx val="50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1B-5918-4A61-9771-4BDA5A6BC233}"/>
                    </c:ext>
                  </c:extLst>
                </c:dPt>
                <c:dPt>
                  <c:idx val="50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1D-5918-4A61-9771-4BDA5A6BC233}"/>
                    </c:ext>
                  </c:extLst>
                </c:dPt>
                <c:dPt>
                  <c:idx val="51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1F-5918-4A61-9771-4BDA5A6BC233}"/>
                    </c:ext>
                  </c:extLst>
                </c:dPt>
                <c:dPt>
                  <c:idx val="51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21-5918-4A61-9771-4BDA5A6BC233}"/>
                    </c:ext>
                  </c:extLst>
                </c:dPt>
                <c:dPt>
                  <c:idx val="51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23-5918-4A61-9771-4BDA5A6BC233}"/>
                    </c:ext>
                  </c:extLst>
                </c:dPt>
                <c:dPt>
                  <c:idx val="51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25-5918-4A61-9771-4BDA5A6BC233}"/>
                    </c:ext>
                  </c:extLst>
                </c:dPt>
                <c:dPt>
                  <c:idx val="51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27-5918-4A61-9771-4BDA5A6BC233}"/>
                    </c:ext>
                  </c:extLst>
                </c:dPt>
                <c:dPt>
                  <c:idx val="51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29-5918-4A61-9771-4BDA5A6BC233}"/>
                    </c:ext>
                  </c:extLst>
                </c:dPt>
                <c:dPt>
                  <c:idx val="51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2B-5918-4A61-9771-4BDA5A6BC233}"/>
                    </c:ext>
                  </c:extLst>
                </c:dPt>
                <c:dPt>
                  <c:idx val="51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2D-5918-4A61-9771-4BDA5A6BC233}"/>
                    </c:ext>
                  </c:extLst>
                </c:dPt>
                <c:dPt>
                  <c:idx val="51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2F-5918-4A61-9771-4BDA5A6BC233}"/>
                    </c:ext>
                  </c:extLst>
                </c:dPt>
                <c:dPt>
                  <c:idx val="51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31-5918-4A61-9771-4BDA5A6BC233}"/>
                    </c:ext>
                  </c:extLst>
                </c:dPt>
                <c:dPt>
                  <c:idx val="52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33-5918-4A61-9771-4BDA5A6BC233}"/>
                    </c:ext>
                  </c:extLst>
                </c:dPt>
                <c:dPt>
                  <c:idx val="52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35-5918-4A61-9771-4BDA5A6BC233}"/>
                    </c:ext>
                  </c:extLst>
                </c:dPt>
                <c:dPt>
                  <c:idx val="52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37-5918-4A61-9771-4BDA5A6BC233}"/>
                    </c:ext>
                  </c:extLst>
                </c:dPt>
                <c:dPt>
                  <c:idx val="52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39-5918-4A61-9771-4BDA5A6BC233}"/>
                    </c:ext>
                  </c:extLst>
                </c:dPt>
                <c:dPt>
                  <c:idx val="52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3B-5918-4A61-9771-4BDA5A6BC233}"/>
                    </c:ext>
                  </c:extLst>
                </c:dPt>
                <c:dPt>
                  <c:idx val="52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3D-5918-4A61-9771-4BDA5A6BC233}"/>
                    </c:ext>
                  </c:extLst>
                </c:dPt>
                <c:dPt>
                  <c:idx val="52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3F-5918-4A61-9771-4BDA5A6BC233}"/>
                    </c:ext>
                  </c:extLst>
                </c:dPt>
                <c:dPt>
                  <c:idx val="52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41-5918-4A61-9771-4BDA5A6BC233}"/>
                    </c:ext>
                  </c:extLst>
                </c:dPt>
                <c:dPt>
                  <c:idx val="52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43-5918-4A61-9771-4BDA5A6BC233}"/>
                    </c:ext>
                  </c:extLst>
                </c:dPt>
                <c:dPt>
                  <c:idx val="52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45-5918-4A61-9771-4BDA5A6BC233}"/>
                    </c:ext>
                  </c:extLst>
                </c:dPt>
                <c:dPt>
                  <c:idx val="53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47-5918-4A61-9771-4BDA5A6BC233}"/>
                    </c:ext>
                  </c:extLst>
                </c:dPt>
                <c:dPt>
                  <c:idx val="53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49-5918-4A61-9771-4BDA5A6BC233}"/>
                    </c:ext>
                  </c:extLst>
                </c:dPt>
                <c:dPt>
                  <c:idx val="53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4B-5918-4A61-9771-4BDA5A6BC233}"/>
                    </c:ext>
                  </c:extLst>
                </c:dPt>
                <c:dPt>
                  <c:idx val="53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4D-5918-4A61-9771-4BDA5A6BC233}"/>
                    </c:ext>
                  </c:extLst>
                </c:dPt>
                <c:dPt>
                  <c:idx val="53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4F-5918-4A61-9771-4BDA5A6BC233}"/>
                    </c:ext>
                  </c:extLst>
                </c:dPt>
                <c:dPt>
                  <c:idx val="53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51-5918-4A61-9771-4BDA5A6BC233}"/>
                    </c:ext>
                  </c:extLst>
                </c:dPt>
                <c:dPt>
                  <c:idx val="53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53-5918-4A61-9771-4BDA5A6BC233}"/>
                    </c:ext>
                  </c:extLst>
                </c:dPt>
                <c:dPt>
                  <c:idx val="53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55-5918-4A61-9771-4BDA5A6BC233}"/>
                    </c:ext>
                  </c:extLst>
                </c:dPt>
                <c:dPt>
                  <c:idx val="53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57-5918-4A61-9771-4BDA5A6BC233}"/>
                    </c:ext>
                  </c:extLst>
                </c:dPt>
                <c:dPt>
                  <c:idx val="53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59-5918-4A61-9771-4BDA5A6BC233}"/>
                    </c:ext>
                  </c:extLst>
                </c:dPt>
                <c:dPt>
                  <c:idx val="54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5B-5918-4A61-9771-4BDA5A6BC233}"/>
                    </c:ext>
                  </c:extLst>
                </c:dPt>
                <c:dPt>
                  <c:idx val="54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5D-5918-4A61-9771-4BDA5A6BC233}"/>
                    </c:ext>
                  </c:extLst>
                </c:dPt>
                <c:dPt>
                  <c:idx val="54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5F-5918-4A61-9771-4BDA5A6BC233}"/>
                    </c:ext>
                  </c:extLst>
                </c:dPt>
                <c:dPt>
                  <c:idx val="54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61-5918-4A61-9771-4BDA5A6BC233}"/>
                    </c:ext>
                  </c:extLst>
                </c:dPt>
                <c:dPt>
                  <c:idx val="54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63-5918-4A61-9771-4BDA5A6BC233}"/>
                    </c:ext>
                  </c:extLst>
                </c:dPt>
                <c:dPt>
                  <c:idx val="54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65-5918-4A61-9771-4BDA5A6BC233}"/>
                    </c:ext>
                  </c:extLst>
                </c:dPt>
                <c:dPt>
                  <c:idx val="54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67-5918-4A61-9771-4BDA5A6BC233}"/>
                    </c:ext>
                  </c:extLst>
                </c:dPt>
                <c:dPt>
                  <c:idx val="54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69-5918-4A61-9771-4BDA5A6BC233}"/>
                    </c:ext>
                  </c:extLst>
                </c:dPt>
                <c:dPt>
                  <c:idx val="54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6B-5918-4A61-9771-4BDA5A6BC233}"/>
                    </c:ext>
                  </c:extLst>
                </c:dPt>
                <c:dPt>
                  <c:idx val="54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6D-5918-4A61-9771-4BDA5A6BC233}"/>
                    </c:ext>
                  </c:extLst>
                </c:dPt>
                <c:dPt>
                  <c:idx val="55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6F-5918-4A61-9771-4BDA5A6BC233}"/>
                    </c:ext>
                  </c:extLst>
                </c:dPt>
                <c:dPt>
                  <c:idx val="55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71-5918-4A61-9771-4BDA5A6BC233}"/>
                    </c:ext>
                  </c:extLst>
                </c:dPt>
                <c:dPt>
                  <c:idx val="55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73-5918-4A61-9771-4BDA5A6BC233}"/>
                    </c:ext>
                  </c:extLst>
                </c:dPt>
                <c:dPt>
                  <c:idx val="55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75-5918-4A61-9771-4BDA5A6BC233}"/>
                    </c:ext>
                  </c:extLst>
                </c:dPt>
                <c:dPt>
                  <c:idx val="55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77-5918-4A61-9771-4BDA5A6BC233}"/>
                    </c:ext>
                  </c:extLst>
                </c:dPt>
                <c:dPt>
                  <c:idx val="55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79-5918-4A61-9771-4BDA5A6BC233}"/>
                    </c:ext>
                  </c:extLst>
                </c:dPt>
                <c:dPt>
                  <c:idx val="55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7B-5918-4A61-9771-4BDA5A6BC233}"/>
                    </c:ext>
                  </c:extLst>
                </c:dPt>
                <c:dPt>
                  <c:idx val="55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7D-5918-4A61-9771-4BDA5A6BC233}"/>
                    </c:ext>
                  </c:extLst>
                </c:dPt>
                <c:dPt>
                  <c:idx val="55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7F-5918-4A61-9771-4BDA5A6BC233}"/>
                    </c:ext>
                  </c:extLst>
                </c:dPt>
                <c:dPt>
                  <c:idx val="55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81-5918-4A61-9771-4BDA5A6BC233}"/>
                    </c:ext>
                  </c:extLst>
                </c:dPt>
                <c:dPt>
                  <c:idx val="56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83-5918-4A61-9771-4BDA5A6BC233}"/>
                    </c:ext>
                  </c:extLst>
                </c:dPt>
                <c:dPt>
                  <c:idx val="56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85-5918-4A61-9771-4BDA5A6BC233}"/>
                    </c:ext>
                  </c:extLst>
                </c:dPt>
                <c:dPt>
                  <c:idx val="56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87-5918-4A61-9771-4BDA5A6BC233}"/>
                    </c:ext>
                  </c:extLst>
                </c:dPt>
                <c:dPt>
                  <c:idx val="56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89-5918-4A61-9771-4BDA5A6BC233}"/>
                    </c:ext>
                  </c:extLst>
                </c:dPt>
                <c:dPt>
                  <c:idx val="56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8B-5918-4A61-9771-4BDA5A6BC233}"/>
                    </c:ext>
                  </c:extLst>
                </c:dPt>
                <c:dPt>
                  <c:idx val="56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8D-5918-4A61-9771-4BDA5A6BC233}"/>
                    </c:ext>
                  </c:extLst>
                </c:dPt>
                <c:dPt>
                  <c:idx val="56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8F-5918-4A61-9771-4BDA5A6BC233}"/>
                    </c:ext>
                  </c:extLst>
                </c:dPt>
                <c:dPt>
                  <c:idx val="56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91-5918-4A61-9771-4BDA5A6BC233}"/>
                    </c:ext>
                  </c:extLst>
                </c:dPt>
                <c:dPt>
                  <c:idx val="56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93-5918-4A61-9771-4BDA5A6BC233}"/>
                    </c:ext>
                  </c:extLst>
                </c:dPt>
                <c:dPt>
                  <c:idx val="56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95-5918-4A61-9771-4BDA5A6BC233}"/>
                    </c:ext>
                  </c:extLst>
                </c:dPt>
                <c:dPt>
                  <c:idx val="57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97-5918-4A61-9771-4BDA5A6BC233}"/>
                    </c:ext>
                  </c:extLst>
                </c:dPt>
                <c:dPt>
                  <c:idx val="57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99-5918-4A61-9771-4BDA5A6BC233}"/>
                    </c:ext>
                  </c:extLst>
                </c:dPt>
                <c:dPt>
                  <c:idx val="57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9B-5918-4A61-9771-4BDA5A6BC233}"/>
                    </c:ext>
                  </c:extLst>
                </c:dPt>
                <c:dPt>
                  <c:idx val="57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9D-5918-4A61-9771-4BDA5A6BC233}"/>
                    </c:ext>
                  </c:extLst>
                </c:dPt>
                <c:dPt>
                  <c:idx val="57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9F-5918-4A61-9771-4BDA5A6BC233}"/>
                    </c:ext>
                  </c:extLst>
                </c:dPt>
                <c:dPt>
                  <c:idx val="57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A1-5918-4A61-9771-4BDA5A6BC233}"/>
                    </c:ext>
                  </c:extLst>
                </c:dPt>
                <c:dPt>
                  <c:idx val="57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A3-5918-4A61-9771-4BDA5A6BC233}"/>
                    </c:ext>
                  </c:extLst>
                </c:dPt>
                <c:dPt>
                  <c:idx val="57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A5-5918-4A61-9771-4BDA5A6BC233}"/>
                    </c:ext>
                  </c:extLst>
                </c:dPt>
                <c:dPt>
                  <c:idx val="57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A7-5918-4A61-9771-4BDA5A6BC233}"/>
                    </c:ext>
                  </c:extLst>
                </c:dPt>
                <c:dPt>
                  <c:idx val="57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A9-5918-4A61-9771-4BDA5A6BC233}"/>
                    </c:ext>
                  </c:extLst>
                </c:dPt>
                <c:dPt>
                  <c:idx val="58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AB-5918-4A61-9771-4BDA5A6BC233}"/>
                    </c:ext>
                  </c:extLst>
                </c:dPt>
                <c:dPt>
                  <c:idx val="58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AD-5918-4A61-9771-4BDA5A6BC233}"/>
                    </c:ext>
                  </c:extLst>
                </c:dPt>
                <c:dPt>
                  <c:idx val="58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AF-5918-4A61-9771-4BDA5A6BC233}"/>
                    </c:ext>
                  </c:extLst>
                </c:dPt>
                <c:dPt>
                  <c:idx val="58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B1-5918-4A61-9771-4BDA5A6BC233}"/>
                    </c:ext>
                  </c:extLst>
                </c:dPt>
                <c:dPt>
                  <c:idx val="58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B3-5918-4A61-9771-4BDA5A6BC233}"/>
                    </c:ext>
                  </c:extLst>
                </c:dPt>
                <c:dPt>
                  <c:idx val="58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B5-5918-4A61-9771-4BDA5A6BC233}"/>
                    </c:ext>
                  </c:extLst>
                </c:dPt>
                <c:dPt>
                  <c:idx val="58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B7-5918-4A61-9771-4BDA5A6BC233}"/>
                    </c:ext>
                  </c:extLst>
                </c:dPt>
                <c:dPt>
                  <c:idx val="58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B9-5918-4A61-9771-4BDA5A6BC233}"/>
                    </c:ext>
                  </c:extLst>
                </c:dPt>
                <c:dPt>
                  <c:idx val="58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BB-5918-4A61-9771-4BDA5A6BC233}"/>
                    </c:ext>
                  </c:extLst>
                </c:dPt>
                <c:dPt>
                  <c:idx val="58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BD-5918-4A61-9771-4BDA5A6BC233}"/>
                    </c:ext>
                  </c:extLst>
                </c:dPt>
                <c:dPt>
                  <c:idx val="59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BF-5918-4A61-9771-4BDA5A6BC233}"/>
                    </c:ext>
                  </c:extLst>
                </c:dPt>
                <c:dPt>
                  <c:idx val="59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C1-5918-4A61-9771-4BDA5A6BC233}"/>
                    </c:ext>
                  </c:extLst>
                </c:dPt>
                <c:dPt>
                  <c:idx val="59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C3-5918-4A61-9771-4BDA5A6BC233}"/>
                    </c:ext>
                  </c:extLst>
                </c:dPt>
                <c:dPt>
                  <c:idx val="59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C5-5918-4A61-9771-4BDA5A6BC233}"/>
                    </c:ext>
                  </c:extLst>
                </c:dPt>
                <c:dPt>
                  <c:idx val="59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C7-5918-4A61-9771-4BDA5A6BC233}"/>
                    </c:ext>
                  </c:extLst>
                </c:dPt>
                <c:dPt>
                  <c:idx val="59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C9-5918-4A61-9771-4BDA5A6BC233}"/>
                    </c:ext>
                  </c:extLst>
                </c:dPt>
                <c:dPt>
                  <c:idx val="59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CB-5918-4A61-9771-4BDA5A6BC233}"/>
                    </c:ext>
                  </c:extLst>
                </c:dPt>
                <c:dPt>
                  <c:idx val="59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CD-5918-4A61-9771-4BDA5A6BC233}"/>
                    </c:ext>
                  </c:extLst>
                </c:dPt>
                <c:dPt>
                  <c:idx val="59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CF-5918-4A61-9771-4BDA5A6BC233}"/>
                    </c:ext>
                  </c:extLst>
                </c:dPt>
                <c:dPt>
                  <c:idx val="59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D1-5918-4A61-9771-4BDA5A6BC233}"/>
                    </c:ext>
                  </c:extLst>
                </c:dPt>
                <c:dPt>
                  <c:idx val="60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D3-5918-4A61-9771-4BDA5A6BC233}"/>
                    </c:ext>
                  </c:extLst>
                </c:dPt>
                <c:dPt>
                  <c:idx val="60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D5-5918-4A61-9771-4BDA5A6BC233}"/>
                    </c:ext>
                  </c:extLst>
                </c:dPt>
                <c:dPt>
                  <c:idx val="60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D7-5918-4A61-9771-4BDA5A6BC233}"/>
                    </c:ext>
                  </c:extLst>
                </c:dPt>
                <c:dPt>
                  <c:idx val="60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D9-5918-4A61-9771-4BDA5A6BC233}"/>
                    </c:ext>
                  </c:extLst>
                </c:dPt>
                <c:dPt>
                  <c:idx val="60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DB-5918-4A61-9771-4BDA5A6BC233}"/>
                    </c:ext>
                  </c:extLst>
                </c:dPt>
                <c:dPt>
                  <c:idx val="60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DD-5918-4A61-9771-4BDA5A6BC233}"/>
                    </c:ext>
                  </c:extLst>
                </c:dPt>
                <c:dPt>
                  <c:idx val="60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DF-5918-4A61-9771-4BDA5A6BC233}"/>
                    </c:ext>
                  </c:extLst>
                </c:dPt>
                <c:dPt>
                  <c:idx val="60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E1-5918-4A61-9771-4BDA5A6BC233}"/>
                    </c:ext>
                  </c:extLst>
                </c:dPt>
                <c:dPt>
                  <c:idx val="60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E3-5918-4A61-9771-4BDA5A6BC233}"/>
                    </c:ext>
                  </c:extLst>
                </c:dPt>
                <c:dPt>
                  <c:idx val="60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E5-5918-4A61-9771-4BDA5A6BC233}"/>
                    </c:ext>
                  </c:extLst>
                </c:dPt>
                <c:dPt>
                  <c:idx val="61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E7-5918-4A61-9771-4BDA5A6BC233}"/>
                    </c:ext>
                  </c:extLst>
                </c:dPt>
                <c:dPt>
                  <c:idx val="61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E9-5918-4A61-9771-4BDA5A6BC233}"/>
                    </c:ext>
                  </c:extLst>
                </c:dPt>
                <c:dPt>
                  <c:idx val="61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EB-5918-4A61-9771-4BDA5A6BC233}"/>
                    </c:ext>
                  </c:extLst>
                </c:dPt>
                <c:dPt>
                  <c:idx val="61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ED-5918-4A61-9771-4BDA5A6BC233}"/>
                    </c:ext>
                  </c:extLst>
                </c:dPt>
                <c:dPt>
                  <c:idx val="61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EF-5918-4A61-9771-4BDA5A6BC233}"/>
                    </c:ext>
                  </c:extLst>
                </c:dPt>
                <c:dPt>
                  <c:idx val="61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F1-5918-4A61-9771-4BDA5A6BC233}"/>
                    </c:ext>
                  </c:extLst>
                </c:dPt>
                <c:dPt>
                  <c:idx val="61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F3-5918-4A61-9771-4BDA5A6BC233}"/>
                    </c:ext>
                  </c:extLst>
                </c:dPt>
                <c:dPt>
                  <c:idx val="61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F5-5918-4A61-9771-4BDA5A6BC233}"/>
                    </c:ext>
                  </c:extLst>
                </c:dPt>
                <c:dPt>
                  <c:idx val="61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F7-5918-4A61-9771-4BDA5A6BC233}"/>
                    </c:ext>
                  </c:extLst>
                </c:dPt>
                <c:dPt>
                  <c:idx val="61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F9-5918-4A61-9771-4BDA5A6BC233}"/>
                    </c:ext>
                  </c:extLst>
                </c:dPt>
                <c:dPt>
                  <c:idx val="62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FB-5918-4A61-9771-4BDA5A6BC233}"/>
                    </c:ext>
                  </c:extLst>
                </c:dPt>
                <c:dPt>
                  <c:idx val="62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FD-5918-4A61-9771-4BDA5A6BC233}"/>
                    </c:ext>
                  </c:extLst>
                </c:dPt>
                <c:dPt>
                  <c:idx val="62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FF-5918-4A61-9771-4BDA5A6BC233}"/>
                    </c:ext>
                  </c:extLst>
                </c:dPt>
                <c:dPt>
                  <c:idx val="62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01-5918-4A61-9771-4BDA5A6BC233}"/>
                    </c:ext>
                  </c:extLst>
                </c:dPt>
                <c:dPt>
                  <c:idx val="62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03-5918-4A61-9771-4BDA5A6BC233}"/>
                    </c:ext>
                  </c:extLst>
                </c:dPt>
                <c:dPt>
                  <c:idx val="62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05-5918-4A61-9771-4BDA5A6BC233}"/>
                    </c:ext>
                  </c:extLst>
                </c:dPt>
                <c:dPt>
                  <c:idx val="62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07-5918-4A61-9771-4BDA5A6BC233}"/>
                    </c:ext>
                  </c:extLst>
                </c:dPt>
                <c:dPt>
                  <c:idx val="62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09-5918-4A61-9771-4BDA5A6BC233}"/>
                    </c:ext>
                  </c:extLst>
                </c:dPt>
                <c:dPt>
                  <c:idx val="62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0B-5918-4A61-9771-4BDA5A6BC233}"/>
                    </c:ext>
                  </c:extLst>
                </c:dPt>
                <c:dPt>
                  <c:idx val="62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0D-5918-4A61-9771-4BDA5A6BC233}"/>
                    </c:ext>
                  </c:extLst>
                </c:dPt>
                <c:dPt>
                  <c:idx val="63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0F-5918-4A61-9771-4BDA5A6BC233}"/>
                    </c:ext>
                  </c:extLst>
                </c:dPt>
                <c:dPt>
                  <c:idx val="63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11-5918-4A61-9771-4BDA5A6BC233}"/>
                    </c:ext>
                  </c:extLst>
                </c:dPt>
                <c:dPt>
                  <c:idx val="63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13-5918-4A61-9771-4BDA5A6BC233}"/>
                    </c:ext>
                  </c:extLst>
                </c:dPt>
                <c:dPt>
                  <c:idx val="63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15-5918-4A61-9771-4BDA5A6BC233}"/>
                    </c:ext>
                  </c:extLst>
                </c:dPt>
                <c:dPt>
                  <c:idx val="63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17-5918-4A61-9771-4BDA5A6BC233}"/>
                    </c:ext>
                  </c:extLst>
                </c:dPt>
                <c:dPt>
                  <c:idx val="63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19-5918-4A61-9771-4BDA5A6BC233}"/>
                    </c:ext>
                  </c:extLst>
                </c:dPt>
                <c:dPt>
                  <c:idx val="63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1B-5918-4A61-9771-4BDA5A6BC233}"/>
                    </c:ext>
                  </c:extLst>
                </c:dPt>
                <c:dPt>
                  <c:idx val="63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1D-5918-4A61-9771-4BDA5A6BC233}"/>
                    </c:ext>
                  </c:extLst>
                </c:dPt>
                <c:dPt>
                  <c:idx val="63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1F-5918-4A61-9771-4BDA5A6BC233}"/>
                    </c:ext>
                  </c:extLst>
                </c:dPt>
                <c:dPt>
                  <c:idx val="63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21-5918-4A61-9771-4BDA5A6BC233}"/>
                    </c:ext>
                  </c:extLst>
                </c:dPt>
                <c:dPt>
                  <c:idx val="64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23-5918-4A61-9771-4BDA5A6BC233}"/>
                    </c:ext>
                  </c:extLst>
                </c:dPt>
                <c:dPt>
                  <c:idx val="64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25-5918-4A61-9771-4BDA5A6BC233}"/>
                    </c:ext>
                  </c:extLst>
                </c:dPt>
                <c:dPt>
                  <c:idx val="64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27-5918-4A61-9771-4BDA5A6BC233}"/>
                    </c:ext>
                  </c:extLst>
                </c:dPt>
                <c:dPt>
                  <c:idx val="64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29-5918-4A61-9771-4BDA5A6BC233}"/>
                    </c:ext>
                  </c:extLst>
                </c:dPt>
                <c:dPt>
                  <c:idx val="64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2B-5918-4A61-9771-4BDA5A6BC233}"/>
                    </c:ext>
                  </c:extLst>
                </c:dPt>
                <c:dPt>
                  <c:idx val="64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2D-5918-4A61-9771-4BDA5A6BC233}"/>
                    </c:ext>
                  </c:extLst>
                </c:dPt>
                <c:dPt>
                  <c:idx val="64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2F-5918-4A61-9771-4BDA5A6BC233}"/>
                    </c:ext>
                  </c:extLst>
                </c:dPt>
                <c:dPt>
                  <c:idx val="64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31-5918-4A61-9771-4BDA5A6BC233}"/>
                    </c:ext>
                  </c:extLst>
                </c:dPt>
                <c:dPt>
                  <c:idx val="64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33-5918-4A61-9771-4BDA5A6BC233}"/>
                    </c:ext>
                  </c:extLst>
                </c:dPt>
                <c:dPt>
                  <c:idx val="64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35-5918-4A61-9771-4BDA5A6BC233}"/>
                    </c:ext>
                  </c:extLst>
                </c:dPt>
                <c:dPt>
                  <c:idx val="65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37-5918-4A61-9771-4BDA5A6BC233}"/>
                    </c:ext>
                  </c:extLst>
                </c:dPt>
                <c:dPt>
                  <c:idx val="65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39-5918-4A61-9771-4BDA5A6BC233}"/>
                    </c:ext>
                  </c:extLst>
                </c:dPt>
                <c:dPt>
                  <c:idx val="65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3B-5918-4A61-9771-4BDA5A6BC233}"/>
                    </c:ext>
                  </c:extLst>
                </c:dPt>
                <c:dPt>
                  <c:idx val="65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3D-5918-4A61-9771-4BDA5A6BC233}"/>
                    </c:ext>
                  </c:extLst>
                </c:dPt>
                <c:dPt>
                  <c:idx val="65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3F-5918-4A61-9771-4BDA5A6BC233}"/>
                    </c:ext>
                  </c:extLst>
                </c:dPt>
                <c:dPt>
                  <c:idx val="65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41-5918-4A61-9771-4BDA5A6BC233}"/>
                    </c:ext>
                  </c:extLst>
                </c:dPt>
                <c:dPt>
                  <c:idx val="65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43-5918-4A61-9771-4BDA5A6BC233}"/>
                    </c:ext>
                  </c:extLst>
                </c:dPt>
                <c:dPt>
                  <c:idx val="65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45-5918-4A61-9771-4BDA5A6BC233}"/>
                    </c:ext>
                  </c:extLst>
                </c:dPt>
                <c:dPt>
                  <c:idx val="65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47-5918-4A61-9771-4BDA5A6BC233}"/>
                    </c:ext>
                  </c:extLst>
                </c:dPt>
                <c:dPt>
                  <c:idx val="65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49-5918-4A61-9771-4BDA5A6BC233}"/>
                    </c:ext>
                  </c:extLst>
                </c:dPt>
                <c:dPt>
                  <c:idx val="66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4B-5918-4A61-9771-4BDA5A6BC233}"/>
                    </c:ext>
                  </c:extLst>
                </c:dPt>
                <c:dPt>
                  <c:idx val="66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4D-5918-4A61-9771-4BDA5A6BC233}"/>
                    </c:ext>
                  </c:extLst>
                </c:dPt>
                <c:dPt>
                  <c:idx val="66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4F-5918-4A61-9771-4BDA5A6BC233}"/>
                    </c:ext>
                  </c:extLst>
                </c:dPt>
                <c:dPt>
                  <c:idx val="66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51-5918-4A61-9771-4BDA5A6BC233}"/>
                    </c:ext>
                  </c:extLst>
                </c:dPt>
                <c:dPt>
                  <c:idx val="66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53-5918-4A61-9771-4BDA5A6BC233}"/>
                    </c:ext>
                  </c:extLst>
                </c:dPt>
                <c:dPt>
                  <c:idx val="66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55-5918-4A61-9771-4BDA5A6BC233}"/>
                    </c:ext>
                  </c:extLst>
                </c:dPt>
                <c:dPt>
                  <c:idx val="66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57-5918-4A61-9771-4BDA5A6BC233}"/>
                    </c:ext>
                  </c:extLst>
                </c:dPt>
                <c:dPt>
                  <c:idx val="66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59-5918-4A61-9771-4BDA5A6BC233}"/>
                    </c:ext>
                  </c:extLst>
                </c:dPt>
                <c:dPt>
                  <c:idx val="66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5B-5918-4A61-9771-4BDA5A6BC233}"/>
                    </c:ext>
                  </c:extLst>
                </c:dPt>
                <c:dPt>
                  <c:idx val="66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5D-5918-4A61-9771-4BDA5A6BC233}"/>
                    </c:ext>
                  </c:extLst>
                </c:dPt>
                <c:dPt>
                  <c:idx val="67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5F-5918-4A61-9771-4BDA5A6BC233}"/>
                    </c:ext>
                  </c:extLst>
                </c:dPt>
                <c:dPt>
                  <c:idx val="67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61-5918-4A61-9771-4BDA5A6BC233}"/>
                    </c:ext>
                  </c:extLst>
                </c:dPt>
                <c:dPt>
                  <c:idx val="67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63-5918-4A61-9771-4BDA5A6BC233}"/>
                    </c:ext>
                  </c:extLst>
                </c:dPt>
                <c:dPt>
                  <c:idx val="67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65-5918-4A61-9771-4BDA5A6BC233}"/>
                    </c:ext>
                  </c:extLst>
                </c:dPt>
                <c:dPt>
                  <c:idx val="67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67-5918-4A61-9771-4BDA5A6BC233}"/>
                    </c:ext>
                  </c:extLst>
                </c:dPt>
                <c:dPt>
                  <c:idx val="67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69-5918-4A61-9771-4BDA5A6BC233}"/>
                    </c:ext>
                  </c:extLst>
                </c:dPt>
                <c:dPt>
                  <c:idx val="67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6B-5918-4A61-9771-4BDA5A6BC233}"/>
                    </c:ext>
                  </c:extLst>
                </c:dPt>
                <c:dPt>
                  <c:idx val="67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6D-5918-4A61-9771-4BDA5A6BC233}"/>
                    </c:ext>
                  </c:extLst>
                </c:dPt>
                <c:dPt>
                  <c:idx val="67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6F-5918-4A61-9771-4BDA5A6BC233}"/>
                    </c:ext>
                  </c:extLst>
                </c:dPt>
                <c:dPt>
                  <c:idx val="67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71-5918-4A61-9771-4BDA5A6BC233}"/>
                    </c:ext>
                  </c:extLst>
                </c:dPt>
                <c:dPt>
                  <c:idx val="68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73-5918-4A61-9771-4BDA5A6BC233}"/>
                    </c:ext>
                  </c:extLst>
                </c:dPt>
                <c:dPt>
                  <c:idx val="68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75-5918-4A61-9771-4BDA5A6BC233}"/>
                    </c:ext>
                  </c:extLst>
                </c:dPt>
                <c:dPt>
                  <c:idx val="68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77-5918-4A61-9771-4BDA5A6BC233}"/>
                    </c:ext>
                  </c:extLst>
                </c:dPt>
                <c:dPt>
                  <c:idx val="68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79-5918-4A61-9771-4BDA5A6BC233}"/>
                    </c:ext>
                  </c:extLst>
                </c:dPt>
                <c:dPt>
                  <c:idx val="68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7B-5918-4A61-9771-4BDA5A6BC233}"/>
                    </c:ext>
                  </c:extLst>
                </c:dPt>
                <c:dPt>
                  <c:idx val="68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7D-5918-4A61-9771-4BDA5A6BC233}"/>
                    </c:ext>
                  </c:extLst>
                </c:dPt>
                <c:dPt>
                  <c:idx val="68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7F-5918-4A61-9771-4BDA5A6BC233}"/>
                    </c:ext>
                  </c:extLst>
                </c:dPt>
                <c:dPt>
                  <c:idx val="68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81-5918-4A61-9771-4BDA5A6BC233}"/>
                    </c:ext>
                  </c:extLst>
                </c:dPt>
                <c:dPt>
                  <c:idx val="68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83-5918-4A61-9771-4BDA5A6BC233}"/>
                    </c:ext>
                  </c:extLst>
                </c:dPt>
                <c:dPt>
                  <c:idx val="68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85-5918-4A61-9771-4BDA5A6BC233}"/>
                    </c:ext>
                  </c:extLst>
                </c:dPt>
                <c:dPt>
                  <c:idx val="69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87-5918-4A61-9771-4BDA5A6BC233}"/>
                    </c:ext>
                  </c:extLst>
                </c:dPt>
                <c:dPt>
                  <c:idx val="69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89-5918-4A61-9771-4BDA5A6BC233}"/>
                    </c:ext>
                  </c:extLst>
                </c:dPt>
                <c:dPt>
                  <c:idx val="69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8B-5918-4A61-9771-4BDA5A6BC233}"/>
                    </c:ext>
                  </c:extLst>
                </c:dPt>
                <c:dPt>
                  <c:idx val="69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8D-5918-4A61-9771-4BDA5A6BC233}"/>
                    </c:ext>
                  </c:extLst>
                </c:dPt>
                <c:dPt>
                  <c:idx val="69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8F-5918-4A61-9771-4BDA5A6BC233}"/>
                    </c:ext>
                  </c:extLst>
                </c:dPt>
                <c:dPt>
                  <c:idx val="69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91-5918-4A61-9771-4BDA5A6BC233}"/>
                    </c:ext>
                  </c:extLst>
                </c:dPt>
                <c:dPt>
                  <c:idx val="69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93-5918-4A61-9771-4BDA5A6BC233}"/>
                    </c:ext>
                  </c:extLst>
                </c:dPt>
                <c:dPt>
                  <c:idx val="69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95-5918-4A61-9771-4BDA5A6BC233}"/>
                    </c:ext>
                  </c:extLst>
                </c:dPt>
                <c:dPt>
                  <c:idx val="69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97-5918-4A61-9771-4BDA5A6BC233}"/>
                    </c:ext>
                  </c:extLst>
                </c:dPt>
                <c:dPt>
                  <c:idx val="69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99-5918-4A61-9771-4BDA5A6BC233}"/>
                    </c:ext>
                  </c:extLst>
                </c:dPt>
                <c:dPt>
                  <c:idx val="70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9B-5918-4A61-9771-4BDA5A6BC233}"/>
                    </c:ext>
                  </c:extLst>
                </c:dPt>
                <c:dPt>
                  <c:idx val="70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9D-5918-4A61-9771-4BDA5A6BC233}"/>
                    </c:ext>
                  </c:extLst>
                </c:dPt>
                <c:dPt>
                  <c:idx val="70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9F-5918-4A61-9771-4BDA5A6BC233}"/>
                    </c:ext>
                  </c:extLst>
                </c:dPt>
                <c:dPt>
                  <c:idx val="70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A1-5918-4A61-9771-4BDA5A6BC233}"/>
                    </c:ext>
                  </c:extLst>
                </c:dPt>
                <c:dPt>
                  <c:idx val="70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A3-5918-4A61-9771-4BDA5A6BC233}"/>
                    </c:ext>
                  </c:extLst>
                </c:dPt>
                <c:dPt>
                  <c:idx val="70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A5-5918-4A61-9771-4BDA5A6BC233}"/>
                    </c:ext>
                  </c:extLst>
                </c:dPt>
                <c:dPt>
                  <c:idx val="70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A7-5918-4A61-9771-4BDA5A6BC233}"/>
                    </c:ext>
                  </c:extLst>
                </c:dPt>
                <c:dPt>
                  <c:idx val="70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A9-5918-4A61-9771-4BDA5A6BC233}"/>
                    </c:ext>
                  </c:extLst>
                </c:dPt>
                <c:dPt>
                  <c:idx val="70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AB-5918-4A61-9771-4BDA5A6BC233}"/>
                    </c:ext>
                  </c:extLst>
                </c:dPt>
                <c:dPt>
                  <c:idx val="70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AD-5918-4A61-9771-4BDA5A6BC233}"/>
                    </c:ext>
                  </c:extLst>
                </c:dPt>
                <c:dPt>
                  <c:idx val="71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AF-5918-4A61-9771-4BDA5A6BC233}"/>
                    </c:ext>
                  </c:extLst>
                </c:dPt>
                <c:dPt>
                  <c:idx val="71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B1-5918-4A61-9771-4BDA5A6BC233}"/>
                    </c:ext>
                  </c:extLst>
                </c:dPt>
                <c:dPt>
                  <c:idx val="71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B3-5918-4A61-9771-4BDA5A6BC233}"/>
                    </c:ext>
                  </c:extLst>
                </c:dPt>
                <c:dPt>
                  <c:idx val="71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B5-5918-4A61-9771-4BDA5A6BC233}"/>
                    </c:ext>
                  </c:extLst>
                </c:dPt>
                <c:dPt>
                  <c:idx val="71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B7-5918-4A61-9771-4BDA5A6BC233}"/>
                    </c:ext>
                  </c:extLst>
                </c:dPt>
                <c:dPt>
                  <c:idx val="71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B9-5918-4A61-9771-4BDA5A6BC233}"/>
                    </c:ext>
                  </c:extLst>
                </c:dPt>
                <c:dPt>
                  <c:idx val="71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BB-5918-4A61-9771-4BDA5A6BC233}"/>
                    </c:ext>
                  </c:extLst>
                </c:dPt>
                <c:dPt>
                  <c:idx val="71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BD-5918-4A61-9771-4BDA5A6BC233}"/>
                    </c:ext>
                  </c:extLst>
                </c:dPt>
                <c:dPt>
                  <c:idx val="71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BF-5918-4A61-9771-4BDA5A6BC233}"/>
                    </c:ext>
                  </c:extLst>
                </c:dPt>
                <c:dPt>
                  <c:idx val="71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C1-5918-4A61-9771-4BDA5A6BC233}"/>
                    </c:ext>
                  </c:extLst>
                </c:dPt>
                <c:dPt>
                  <c:idx val="72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C3-5918-4A61-9771-4BDA5A6BC233}"/>
                    </c:ext>
                  </c:extLst>
                </c:dPt>
                <c:dPt>
                  <c:idx val="72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C5-5918-4A61-9771-4BDA5A6BC233}"/>
                    </c:ext>
                  </c:extLst>
                </c:dPt>
                <c:dPt>
                  <c:idx val="72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C7-5918-4A61-9771-4BDA5A6BC233}"/>
                    </c:ext>
                  </c:extLst>
                </c:dPt>
                <c:dPt>
                  <c:idx val="72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C9-5918-4A61-9771-4BDA5A6BC233}"/>
                    </c:ext>
                  </c:extLst>
                </c:dPt>
                <c:dPt>
                  <c:idx val="72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CB-5918-4A61-9771-4BDA5A6BC233}"/>
                    </c:ext>
                  </c:extLst>
                </c:dPt>
                <c:dPt>
                  <c:idx val="72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CD-5918-4A61-9771-4BDA5A6BC233}"/>
                    </c:ext>
                  </c:extLst>
                </c:dPt>
                <c:dPt>
                  <c:idx val="72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CF-5918-4A61-9771-4BDA5A6BC233}"/>
                    </c:ext>
                  </c:extLst>
                </c:dPt>
                <c:dPt>
                  <c:idx val="72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D1-5918-4A61-9771-4BDA5A6BC233}"/>
                    </c:ext>
                  </c:extLst>
                </c:dPt>
                <c:dPt>
                  <c:idx val="72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D3-5918-4A61-9771-4BDA5A6BC233}"/>
                    </c:ext>
                  </c:extLst>
                </c:dPt>
                <c:dPt>
                  <c:idx val="72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D5-5918-4A61-9771-4BDA5A6BC233}"/>
                    </c:ext>
                  </c:extLst>
                </c:dPt>
                <c:dPt>
                  <c:idx val="73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D7-5918-4A61-9771-4BDA5A6BC233}"/>
                    </c:ext>
                  </c:extLst>
                </c:dPt>
                <c:dPt>
                  <c:idx val="73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D9-5918-4A61-9771-4BDA5A6BC233}"/>
                    </c:ext>
                  </c:extLst>
                </c:dPt>
                <c:dPt>
                  <c:idx val="73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DB-5918-4A61-9771-4BDA5A6BC233}"/>
                    </c:ext>
                  </c:extLst>
                </c:dPt>
                <c:dPt>
                  <c:idx val="73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DD-5918-4A61-9771-4BDA5A6BC233}"/>
                    </c:ext>
                  </c:extLst>
                </c:dPt>
                <c:dPt>
                  <c:idx val="73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DF-5918-4A61-9771-4BDA5A6BC233}"/>
                    </c:ext>
                  </c:extLst>
                </c:dPt>
                <c:dPt>
                  <c:idx val="73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E1-5918-4A61-9771-4BDA5A6BC233}"/>
                    </c:ext>
                  </c:extLst>
                </c:dPt>
                <c:dPt>
                  <c:idx val="73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E3-5918-4A61-9771-4BDA5A6BC233}"/>
                    </c:ext>
                  </c:extLst>
                </c:dPt>
                <c:dPt>
                  <c:idx val="73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E5-5918-4A61-9771-4BDA5A6BC233}"/>
                    </c:ext>
                  </c:extLst>
                </c:dPt>
                <c:dPt>
                  <c:idx val="73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E7-5918-4A61-9771-4BDA5A6BC233}"/>
                    </c:ext>
                  </c:extLst>
                </c:dPt>
                <c:dPt>
                  <c:idx val="73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E9-5918-4A61-9771-4BDA5A6BC233}"/>
                    </c:ext>
                  </c:extLst>
                </c:dPt>
                <c:dPt>
                  <c:idx val="74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EB-5918-4A61-9771-4BDA5A6BC233}"/>
                    </c:ext>
                  </c:extLst>
                </c:dPt>
                <c:dPt>
                  <c:idx val="74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ED-5918-4A61-9771-4BDA5A6BC233}"/>
                    </c:ext>
                  </c:extLst>
                </c:dPt>
                <c:dPt>
                  <c:idx val="74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EF-5918-4A61-9771-4BDA5A6BC233}"/>
                    </c:ext>
                  </c:extLst>
                </c:dPt>
                <c:dPt>
                  <c:idx val="74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F1-5918-4A61-9771-4BDA5A6BC233}"/>
                    </c:ext>
                  </c:extLst>
                </c:dPt>
                <c:dPt>
                  <c:idx val="74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F3-5918-4A61-9771-4BDA5A6BC233}"/>
                    </c:ext>
                  </c:extLst>
                </c:dPt>
                <c:dPt>
                  <c:idx val="74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F5-5918-4A61-9771-4BDA5A6BC233}"/>
                    </c:ext>
                  </c:extLst>
                </c:dPt>
                <c:dPt>
                  <c:idx val="74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F7-5918-4A61-9771-4BDA5A6BC233}"/>
                    </c:ext>
                  </c:extLst>
                </c:dPt>
                <c:dPt>
                  <c:idx val="74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F9-5918-4A61-9771-4BDA5A6BC233}"/>
                    </c:ext>
                  </c:extLst>
                </c:dPt>
                <c:dPt>
                  <c:idx val="74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FB-5918-4A61-9771-4BDA5A6BC233}"/>
                    </c:ext>
                  </c:extLst>
                </c:dPt>
                <c:dPt>
                  <c:idx val="74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FD-5918-4A61-9771-4BDA5A6BC233}"/>
                    </c:ext>
                  </c:extLst>
                </c:dPt>
                <c:dPt>
                  <c:idx val="75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FF-5918-4A61-9771-4BDA5A6BC233}"/>
                    </c:ext>
                  </c:extLst>
                </c:dPt>
                <c:dPt>
                  <c:idx val="75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01-5918-4A61-9771-4BDA5A6BC233}"/>
                    </c:ext>
                  </c:extLst>
                </c:dPt>
                <c:dPt>
                  <c:idx val="75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03-5918-4A61-9771-4BDA5A6BC233}"/>
                    </c:ext>
                  </c:extLst>
                </c:dPt>
                <c:dPt>
                  <c:idx val="75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05-5918-4A61-9771-4BDA5A6BC233}"/>
                    </c:ext>
                  </c:extLst>
                </c:dPt>
                <c:dPt>
                  <c:idx val="75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07-5918-4A61-9771-4BDA5A6BC233}"/>
                    </c:ext>
                  </c:extLst>
                </c:dPt>
                <c:dPt>
                  <c:idx val="75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09-5918-4A61-9771-4BDA5A6BC233}"/>
                    </c:ext>
                  </c:extLst>
                </c:dPt>
                <c:dPt>
                  <c:idx val="75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0B-5918-4A61-9771-4BDA5A6BC233}"/>
                    </c:ext>
                  </c:extLst>
                </c:dPt>
                <c:dPt>
                  <c:idx val="75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0D-5918-4A61-9771-4BDA5A6BC233}"/>
                    </c:ext>
                  </c:extLst>
                </c:dPt>
                <c:dPt>
                  <c:idx val="75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0F-5918-4A61-9771-4BDA5A6BC233}"/>
                    </c:ext>
                  </c:extLst>
                </c:dPt>
                <c:dPt>
                  <c:idx val="75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11-5918-4A61-9771-4BDA5A6BC233}"/>
                    </c:ext>
                  </c:extLst>
                </c:dPt>
                <c:dPt>
                  <c:idx val="76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13-5918-4A61-9771-4BDA5A6BC233}"/>
                    </c:ext>
                  </c:extLst>
                </c:dPt>
                <c:dPt>
                  <c:idx val="76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15-5918-4A61-9771-4BDA5A6BC233}"/>
                    </c:ext>
                  </c:extLst>
                </c:dPt>
                <c:dPt>
                  <c:idx val="76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17-5918-4A61-9771-4BDA5A6BC233}"/>
                    </c:ext>
                  </c:extLst>
                </c:dPt>
                <c:dPt>
                  <c:idx val="76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19-5918-4A61-9771-4BDA5A6BC233}"/>
                    </c:ext>
                  </c:extLst>
                </c:dPt>
                <c:dPt>
                  <c:idx val="76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1B-5918-4A61-9771-4BDA5A6BC233}"/>
                    </c:ext>
                  </c:extLst>
                </c:dPt>
                <c:dPt>
                  <c:idx val="76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1D-5918-4A61-9771-4BDA5A6BC233}"/>
                    </c:ext>
                  </c:extLst>
                </c:dPt>
                <c:dPt>
                  <c:idx val="76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1F-5918-4A61-9771-4BDA5A6BC233}"/>
                    </c:ext>
                  </c:extLst>
                </c:dPt>
                <c:dPt>
                  <c:idx val="76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21-5918-4A61-9771-4BDA5A6BC233}"/>
                    </c:ext>
                  </c:extLst>
                </c:dPt>
                <c:dPt>
                  <c:idx val="76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23-5918-4A61-9771-4BDA5A6BC233}"/>
                    </c:ext>
                  </c:extLst>
                </c:dPt>
                <c:dPt>
                  <c:idx val="76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25-5918-4A61-9771-4BDA5A6BC233}"/>
                    </c:ext>
                  </c:extLst>
                </c:dPt>
                <c:dPt>
                  <c:idx val="77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27-5918-4A61-9771-4BDA5A6BC233}"/>
                    </c:ext>
                  </c:extLst>
                </c:dPt>
                <c:dPt>
                  <c:idx val="77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29-5918-4A61-9771-4BDA5A6BC233}"/>
                    </c:ext>
                  </c:extLst>
                </c:dPt>
                <c:dPt>
                  <c:idx val="77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2B-5918-4A61-9771-4BDA5A6BC233}"/>
                    </c:ext>
                  </c:extLst>
                </c:dPt>
                <c:dPt>
                  <c:idx val="77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2D-5918-4A61-9771-4BDA5A6BC233}"/>
                    </c:ext>
                  </c:extLst>
                </c:dPt>
                <c:dPt>
                  <c:idx val="77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2F-5918-4A61-9771-4BDA5A6BC233}"/>
                    </c:ext>
                  </c:extLst>
                </c:dPt>
                <c:dPt>
                  <c:idx val="77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31-5918-4A61-9771-4BDA5A6BC233}"/>
                    </c:ext>
                  </c:extLst>
                </c:dPt>
                <c:dPt>
                  <c:idx val="77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33-5918-4A61-9771-4BDA5A6BC233}"/>
                    </c:ext>
                  </c:extLst>
                </c:dPt>
                <c:dPt>
                  <c:idx val="77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35-5918-4A61-9771-4BDA5A6BC233}"/>
                    </c:ext>
                  </c:extLst>
                </c:dPt>
                <c:dPt>
                  <c:idx val="77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37-5918-4A61-9771-4BDA5A6BC233}"/>
                    </c:ext>
                  </c:extLst>
                </c:dPt>
                <c:dPt>
                  <c:idx val="77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39-5918-4A61-9771-4BDA5A6BC233}"/>
                    </c:ext>
                  </c:extLst>
                </c:dPt>
                <c:dPt>
                  <c:idx val="78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3B-5918-4A61-9771-4BDA5A6BC233}"/>
                    </c:ext>
                  </c:extLst>
                </c:dPt>
                <c:dPt>
                  <c:idx val="78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3D-5918-4A61-9771-4BDA5A6BC233}"/>
                    </c:ext>
                  </c:extLst>
                </c:dPt>
                <c:dPt>
                  <c:idx val="78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3F-5918-4A61-9771-4BDA5A6BC233}"/>
                    </c:ext>
                  </c:extLst>
                </c:dPt>
                <c:dPt>
                  <c:idx val="78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41-5918-4A61-9771-4BDA5A6BC233}"/>
                    </c:ext>
                  </c:extLst>
                </c:dPt>
                <c:dPt>
                  <c:idx val="78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43-5918-4A61-9771-4BDA5A6BC233}"/>
                    </c:ext>
                  </c:extLst>
                </c:dPt>
                <c:dPt>
                  <c:idx val="78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45-5918-4A61-9771-4BDA5A6BC233}"/>
                    </c:ext>
                  </c:extLst>
                </c:dPt>
                <c:dPt>
                  <c:idx val="78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47-5918-4A61-9771-4BDA5A6BC233}"/>
                    </c:ext>
                  </c:extLst>
                </c:dPt>
                <c:dPt>
                  <c:idx val="78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49-5918-4A61-9771-4BDA5A6BC233}"/>
                    </c:ext>
                  </c:extLst>
                </c:dPt>
                <c:dPt>
                  <c:idx val="78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4B-5918-4A61-9771-4BDA5A6BC233}"/>
                    </c:ext>
                  </c:extLst>
                </c:dPt>
                <c:dPt>
                  <c:idx val="78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4D-5918-4A61-9771-4BDA5A6BC233}"/>
                    </c:ext>
                  </c:extLst>
                </c:dPt>
                <c:dPt>
                  <c:idx val="79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4F-5918-4A61-9771-4BDA5A6BC233}"/>
                    </c:ext>
                  </c:extLst>
                </c:dPt>
                <c:dPt>
                  <c:idx val="79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51-5918-4A61-9771-4BDA5A6BC233}"/>
                    </c:ext>
                  </c:extLst>
                </c:dPt>
                <c:dPt>
                  <c:idx val="79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53-5918-4A61-9771-4BDA5A6BC233}"/>
                    </c:ext>
                  </c:extLst>
                </c:dPt>
                <c:dPt>
                  <c:idx val="79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55-5918-4A61-9771-4BDA5A6BC233}"/>
                    </c:ext>
                  </c:extLst>
                </c:dPt>
                <c:dPt>
                  <c:idx val="79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57-5918-4A61-9771-4BDA5A6BC233}"/>
                    </c:ext>
                  </c:extLst>
                </c:dPt>
                <c:dPt>
                  <c:idx val="79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59-5918-4A61-9771-4BDA5A6BC233}"/>
                    </c:ext>
                  </c:extLst>
                </c:dPt>
                <c:dPt>
                  <c:idx val="79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5B-5918-4A61-9771-4BDA5A6BC233}"/>
                    </c:ext>
                  </c:extLst>
                </c:dPt>
                <c:dPt>
                  <c:idx val="79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5D-5918-4A61-9771-4BDA5A6BC233}"/>
                    </c:ext>
                  </c:extLst>
                </c:dPt>
                <c:dPt>
                  <c:idx val="79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5F-5918-4A61-9771-4BDA5A6BC233}"/>
                    </c:ext>
                  </c:extLst>
                </c:dPt>
                <c:dPt>
                  <c:idx val="79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61-5918-4A61-9771-4BDA5A6BC233}"/>
                    </c:ext>
                  </c:extLst>
                </c:dPt>
                <c:dPt>
                  <c:idx val="80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63-5918-4A61-9771-4BDA5A6BC233}"/>
                    </c:ext>
                  </c:extLst>
                </c:dPt>
                <c:dPt>
                  <c:idx val="80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65-5918-4A61-9771-4BDA5A6BC233}"/>
                    </c:ext>
                  </c:extLst>
                </c:dPt>
                <c:dPt>
                  <c:idx val="80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67-5918-4A61-9771-4BDA5A6BC233}"/>
                    </c:ext>
                  </c:extLst>
                </c:dPt>
                <c:dPt>
                  <c:idx val="80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69-5918-4A61-9771-4BDA5A6BC233}"/>
                    </c:ext>
                  </c:extLst>
                </c:dPt>
                <c:dPt>
                  <c:idx val="80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6B-5918-4A61-9771-4BDA5A6BC233}"/>
                    </c:ext>
                  </c:extLst>
                </c:dPt>
                <c:dPt>
                  <c:idx val="80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6D-5918-4A61-9771-4BDA5A6BC233}"/>
                    </c:ext>
                  </c:extLst>
                </c:dPt>
                <c:dPt>
                  <c:idx val="80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6F-5918-4A61-9771-4BDA5A6BC233}"/>
                    </c:ext>
                  </c:extLst>
                </c:dPt>
                <c:dPt>
                  <c:idx val="80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71-5918-4A61-9771-4BDA5A6BC233}"/>
                    </c:ext>
                  </c:extLst>
                </c:dPt>
                <c:dPt>
                  <c:idx val="80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73-5918-4A61-9771-4BDA5A6BC233}"/>
                    </c:ext>
                  </c:extLst>
                </c:dPt>
                <c:dPt>
                  <c:idx val="80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75-5918-4A61-9771-4BDA5A6BC233}"/>
                    </c:ext>
                  </c:extLst>
                </c:dPt>
                <c:dPt>
                  <c:idx val="81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77-5918-4A61-9771-4BDA5A6BC233}"/>
                    </c:ext>
                  </c:extLst>
                </c:dPt>
                <c:dPt>
                  <c:idx val="81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79-5918-4A61-9771-4BDA5A6BC233}"/>
                    </c:ext>
                  </c:extLst>
                </c:dPt>
                <c:dPt>
                  <c:idx val="81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7B-5918-4A61-9771-4BDA5A6BC233}"/>
                    </c:ext>
                  </c:extLst>
                </c:dPt>
                <c:dPt>
                  <c:idx val="81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7D-5918-4A61-9771-4BDA5A6BC233}"/>
                    </c:ext>
                  </c:extLst>
                </c:dPt>
                <c:dPt>
                  <c:idx val="81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7F-5918-4A61-9771-4BDA5A6BC233}"/>
                    </c:ext>
                  </c:extLst>
                </c:dPt>
                <c:dPt>
                  <c:idx val="81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81-5918-4A61-9771-4BDA5A6BC233}"/>
                    </c:ext>
                  </c:extLst>
                </c:dPt>
                <c:dPt>
                  <c:idx val="81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83-5918-4A61-9771-4BDA5A6BC233}"/>
                    </c:ext>
                  </c:extLst>
                </c:dPt>
                <c:dPt>
                  <c:idx val="81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85-5918-4A61-9771-4BDA5A6BC233}"/>
                    </c:ext>
                  </c:extLst>
                </c:dPt>
                <c:dPt>
                  <c:idx val="81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87-5918-4A61-9771-4BDA5A6BC233}"/>
                    </c:ext>
                  </c:extLst>
                </c:dPt>
                <c:dPt>
                  <c:idx val="81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89-5918-4A61-9771-4BDA5A6BC233}"/>
                    </c:ext>
                  </c:extLst>
                </c:dPt>
                <c:dPt>
                  <c:idx val="82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8B-5918-4A61-9771-4BDA5A6BC233}"/>
                    </c:ext>
                  </c:extLst>
                </c:dPt>
                <c:dPt>
                  <c:idx val="82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8D-5918-4A61-9771-4BDA5A6BC233}"/>
                    </c:ext>
                  </c:extLst>
                </c:dPt>
                <c:dPt>
                  <c:idx val="82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8F-5918-4A61-9771-4BDA5A6BC233}"/>
                    </c:ext>
                  </c:extLst>
                </c:dPt>
                <c:dPt>
                  <c:idx val="82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91-5918-4A61-9771-4BDA5A6BC233}"/>
                    </c:ext>
                  </c:extLst>
                </c:dPt>
                <c:dPt>
                  <c:idx val="82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93-5918-4A61-9771-4BDA5A6BC233}"/>
                    </c:ext>
                  </c:extLst>
                </c:dPt>
                <c:dPt>
                  <c:idx val="82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95-5918-4A61-9771-4BDA5A6BC233}"/>
                    </c:ext>
                  </c:extLst>
                </c:dPt>
                <c:dPt>
                  <c:idx val="82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97-5918-4A61-9771-4BDA5A6BC233}"/>
                    </c:ext>
                  </c:extLst>
                </c:dPt>
                <c:dPt>
                  <c:idx val="82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99-5918-4A61-9771-4BDA5A6BC233}"/>
                    </c:ext>
                  </c:extLst>
                </c:dPt>
                <c:dPt>
                  <c:idx val="82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9B-5918-4A61-9771-4BDA5A6BC233}"/>
                    </c:ext>
                  </c:extLst>
                </c:dPt>
                <c:dPt>
                  <c:idx val="82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9D-5918-4A61-9771-4BDA5A6BC233}"/>
                    </c:ext>
                  </c:extLst>
                </c:dPt>
                <c:dPt>
                  <c:idx val="83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9F-5918-4A61-9771-4BDA5A6BC233}"/>
                    </c:ext>
                  </c:extLst>
                </c:dPt>
                <c:dPt>
                  <c:idx val="83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A1-5918-4A61-9771-4BDA5A6BC233}"/>
                    </c:ext>
                  </c:extLst>
                </c:dPt>
                <c:dPt>
                  <c:idx val="83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A3-5918-4A61-9771-4BDA5A6BC233}"/>
                    </c:ext>
                  </c:extLst>
                </c:dPt>
                <c:dPt>
                  <c:idx val="83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A5-5918-4A61-9771-4BDA5A6BC233}"/>
                    </c:ext>
                  </c:extLst>
                </c:dPt>
                <c:dPt>
                  <c:idx val="83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A7-5918-4A61-9771-4BDA5A6BC233}"/>
                    </c:ext>
                  </c:extLst>
                </c:dPt>
                <c:dPt>
                  <c:idx val="83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A9-5918-4A61-9771-4BDA5A6BC233}"/>
                    </c:ext>
                  </c:extLst>
                </c:dPt>
                <c:dPt>
                  <c:idx val="83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AB-5918-4A61-9771-4BDA5A6BC233}"/>
                    </c:ext>
                  </c:extLst>
                </c:dPt>
                <c:dPt>
                  <c:idx val="83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AD-5918-4A61-9771-4BDA5A6BC233}"/>
                    </c:ext>
                  </c:extLst>
                </c:dPt>
                <c:dPt>
                  <c:idx val="83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AF-5918-4A61-9771-4BDA5A6BC233}"/>
                    </c:ext>
                  </c:extLst>
                </c:dPt>
                <c:dPt>
                  <c:idx val="83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B1-5918-4A61-9771-4BDA5A6BC233}"/>
                    </c:ext>
                  </c:extLst>
                </c:dPt>
                <c:dPt>
                  <c:idx val="84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B3-5918-4A61-9771-4BDA5A6BC233}"/>
                    </c:ext>
                  </c:extLst>
                </c:dPt>
                <c:dPt>
                  <c:idx val="84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B5-5918-4A61-9771-4BDA5A6BC233}"/>
                    </c:ext>
                  </c:extLst>
                </c:dPt>
                <c:dPt>
                  <c:idx val="84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B7-5918-4A61-9771-4BDA5A6BC233}"/>
                    </c:ext>
                  </c:extLst>
                </c:dPt>
                <c:dPt>
                  <c:idx val="84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B9-5918-4A61-9771-4BDA5A6BC233}"/>
                    </c:ext>
                  </c:extLst>
                </c:dPt>
                <c:dPt>
                  <c:idx val="84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BB-5918-4A61-9771-4BDA5A6BC233}"/>
                    </c:ext>
                  </c:extLst>
                </c:dPt>
                <c:dPt>
                  <c:idx val="84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BD-5918-4A61-9771-4BDA5A6BC233}"/>
                    </c:ext>
                  </c:extLst>
                </c:dPt>
                <c:dPt>
                  <c:idx val="84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BF-5918-4A61-9771-4BDA5A6BC233}"/>
                    </c:ext>
                  </c:extLst>
                </c:dPt>
                <c:dPt>
                  <c:idx val="84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C1-5918-4A61-9771-4BDA5A6BC233}"/>
                    </c:ext>
                  </c:extLst>
                </c:dPt>
                <c:dPt>
                  <c:idx val="84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C3-5918-4A61-9771-4BDA5A6BC233}"/>
                    </c:ext>
                  </c:extLst>
                </c:dPt>
                <c:dPt>
                  <c:idx val="84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C5-5918-4A61-9771-4BDA5A6BC233}"/>
                    </c:ext>
                  </c:extLst>
                </c:dPt>
                <c:dPt>
                  <c:idx val="85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C7-5918-4A61-9771-4BDA5A6BC233}"/>
                    </c:ext>
                  </c:extLst>
                </c:dPt>
                <c:dPt>
                  <c:idx val="85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C9-5918-4A61-9771-4BDA5A6BC233}"/>
                    </c:ext>
                  </c:extLst>
                </c:dPt>
                <c:dPt>
                  <c:idx val="85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CB-5918-4A61-9771-4BDA5A6BC233}"/>
                    </c:ext>
                  </c:extLst>
                </c:dPt>
                <c:dPt>
                  <c:idx val="85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CD-5918-4A61-9771-4BDA5A6BC233}"/>
                    </c:ext>
                  </c:extLst>
                </c:dPt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 cap="flat" cmpd="sng" algn="ctr">
                        <a:solidFill>
                          <a:schemeClr val="tx1">
                            <a:lumMod val="35000"/>
                            <a:lumOff val="65000"/>
                          </a:schemeClr>
                        </a:solidFill>
                        <a:round/>
                      </a:ln>
                      <a:effectLst/>
                    </c:spPr>
                  </c:leaderLines>
                  <c:extLst>
                    <c:ext uri="{CE6537A1-D6FC-4f65-9D91-7224C49458BB}"/>
                  </c:extLst>
                </c:dLbls>
                <c:cat>
                  <c:strRef>
                    <c:extLst>
                      <c:ext uri="{02D57815-91ED-43cb-92C2-25804820EDAC}">
                        <c15:formulaRef>
                          <c15:sqref>('Données '!$C$199,'Données '!$E$199,'Données '!$G$199,'Données '!$I$199,'Données '!$K$199,'Données '!$M$199,'Données '!$O$199)</c15:sqref>
                        </c15:formulaRef>
                      </c:ext>
                    </c:extLst>
                    <c:strCache>
                      <c:ptCount val="7"/>
                      <c:pt idx="0">
                        <c:v>ESQ ==&gt; APD</c:v>
                      </c:pt>
                      <c:pt idx="1">
                        <c:v>Fin études/AO</c:v>
                      </c:pt>
                      <c:pt idx="2">
                        <c:v>OS</c:v>
                      </c:pt>
                      <c:pt idx="3">
                        <c:v>Travaux</c:v>
                      </c:pt>
                      <c:pt idx="4">
                        <c:v>GPA</c:v>
                      </c:pt>
                      <c:pt idx="5">
                        <c:v>Clôture défisc</c:v>
                      </c:pt>
                      <c:pt idx="6">
                        <c:v>STOP</c:v>
                      </c:pt>
                    </c:strCache>
                  </c:strRef>
                </c:cat>
                <c:val>
                  <c:numRef>
                    <c:extLst>
                      <c:ext uri="{02D57815-91ED-43cb-92C2-25804820EDAC}">
                        <c15:formulaRef>
                          <c15:sqref>('Données '!$C$200,'Données '!$E$200,'Données '!$G$200,'Données '!$I$200,'Données '!$K$200,'Données '!$M$200,'Données '!$O$200)</c15:sqref>
                        </c15:formulaRef>
                      </c:ext>
                    </c:extLst>
                    <c:numCache>
                      <c:formatCode>General</c:formatCode>
                      <c:ptCount val="7"/>
                      <c:pt idx="0">
                        <c:v>2</c:v>
                      </c:pt>
                      <c:pt idx="1">
                        <c:v>3</c:v>
                      </c:pt>
                      <c:pt idx="2">
                        <c:v>0</c:v>
                      </c:pt>
                      <c:pt idx="3">
                        <c:v>2</c:v>
                      </c:pt>
                      <c:pt idx="4">
                        <c:v>2</c:v>
                      </c:pt>
                      <c:pt idx="5">
                        <c:v>0</c:v>
                      </c:pt>
                      <c:pt idx="6">
                        <c:v>0</c:v>
                      </c:pt>
                    </c:numCache>
                  </c:numRef>
                </c:val>
                <c:extLst>
                  <c:ext xmlns:c16="http://schemas.microsoft.com/office/drawing/2014/chart" uri="{C3380CC4-5D6E-409C-BE32-E72D297353CC}">
                    <c16:uniqueId val="{000008CE-5918-4A61-9771-4BDA5A6BC233}"/>
                  </c:ext>
                </c:extLst>
              </c15:ser>
            </c15:filteredPieSeries>
            <c15:filteredPieSeries>
              <c15:ser>
                <c:idx val="2"/>
                <c:order val="2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'Données '!$B$202</c15:sqref>
                        </c15:formulaRef>
                      </c:ext>
                    </c:extLst>
                    <c:strCache>
                      <c:ptCount val="1"/>
                      <c:pt idx="0">
                        <c:v>MMA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01-5918-4A61-9771-4BDA5A6BC233}"/>
                    </c:ext>
                  </c:extLst>
                </c:dPt>
                <c:dPt>
                  <c:idx val="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03-5918-4A61-9771-4BDA5A6BC233}"/>
                    </c:ext>
                  </c:extLst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05-5918-4A61-9771-4BDA5A6BC233}"/>
                    </c:ext>
                  </c:extLst>
                </c:dPt>
                <c:dPt>
                  <c:idx val="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07-5918-4A61-9771-4BDA5A6BC233}"/>
                    </c:ext>
                  </c:extLst>
                </c:dPt>
                <c:dPt>
                  <c:idx val="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09-5918-4A61-9771-4BDA5A6BC233}"/>
                    </c:ext>
                  </c:extLst>
                </c:dPt>
                <c:dPt>
                  <c:idx val="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0B-5918-4A61-9771-4BDA5A6BC233}"/>
                    </c:ext>
                  </c:extLst>
                </c:dPt>
                <c:dPt>
                  <c:idx val="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0D-5918-4A61-9771-4BDA5A6BC233}"/>
                    </c:ext>
                  </c:extLst>
                </c:dPt>
                <c:dPt>
                  <c:idx val="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0F-5918-4A61-9771-4BDA5A6BC233}"/>
                    </c:ext>
                  </c:extLst>
                </c:dPt>
                <c:dPt>
                  <c:idx val="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11-5918-4A61-9771-4BDA5A6BC233}"/>
                    </c:ext>
                  </c:extLst>
                </c:dPt>
                <c:dPt>
                  <c:idx val="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13-5918-4A61-9771-4BDA5A6BC233}"/>
                    </c:ext>
                  </c:extLst>
                </c:dPt>
                <c:dPt>
                  <c:idx val="1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15-5918-4A61-9771-4BDA5A6BC233}"/>
                    </c:ext>
                  </c:extLst>
                </c:dPt>
                <c:dPt>
                  <c:idx val="1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17-5918-4A61-9771-4BDA5A6BC233}"/>
                    </c:ext>
                  </c:extLst>
                </c:dPt>
                <c:dPt>
                  <c:idx val="1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19-5918-4A61-9771-4BDA5A6BC233}"/>
                    </c:ext>
                  </c:extLst>
                </c:dPt>
                <c:dPt>
                  <c:idx val="1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1B-5918-4A61-9771-4BDA5A6BC233}"/>
                    </c:ext>
                  </c:extLst>
                </c:dPt>
                <c:dPt>
                  <c:idx val="1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1D-5918-4A61-9771-4BDA5A6BC233}"/>
                    </c:ext>
                  </c:extLst>
                </c:dPt>
                <c:dPt>
                  <c:idx val="1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1F-5918-4A61-9771-4BDA5A6BC233}"/>
                    </c:ext>
                  </c:extLst>
                </c:dPt>
                <c:dPt>
                  <c:idx val="1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21-5918-4A61-9771-4BDA5A6BC233}"/>
                    </c:ext>
                  </c:extLst>
                </c:dPt>
                <c:dPt>
                  <c:idx val="1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23-5918-4A61-9771-4BDA5A6BC233}"/>
                    </c:ext>
                  </c:extLst>
                </c:dPt>
                <c:dPt>
                  <c:idx val="1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25-5918-4A61-9771-4BDA5A6BC233}"/>
                    </c:ext>
                  </c:extLst>
                </c:dPt>
                <c:dPt>
                  <c:idx val="1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27-5918-4A61-9771-4BDA5A6BC233}"/>
                    </c:ext>
                  </c:extLst>
                </c:dPt>
                <c:dPt>
                  <c:idx val="2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29-5918-4A61-9771-4BDA5A6BC233}"/>
                    </c:ext>
                  </c:extLst>
                </c:dPt>
                <c:dPt>
                  <c:idx val="2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2B-5918-4A61-9771-4BDA5A6BC233}"/>
                    </c:ext>
                  </c:extLst>
                </c:dPt>
                <c:dPt>
                  <c:idx val="2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2D-5918-4A61-9771-4BDA5A6BC233}"/>
                    </c:ext>
                  </c:extLst>
                </c:dPt>
                <c:dPt>
                  <c:idx val="2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2F-5918-4A61-9771-4BDA5A6BC233}"/>
                    </c:ext>
                  </c:extLst>
                </c:dPt>
                <c:dPt>
                  <c:idx val="2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31-5918-4A61-9771-4BDA5A6BC233}"/>
                    </c:ext>
                  </c:extLst>
                </c:dPt>
                <c:dPt>
                  <c:idx val="2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33-5918-4A61-9771-4BDA5A6BC233}"/>
                    </c:ext>
                  </c:extLst>
                </c:dPt>
                <c:dPt>
                  <c:idx val="2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35-5918-4A61-9771-4BDA5A6BC233}"/>
                    </c:ext>
                  </c:extLst>
                </c:dPt>
                <c:dPt>
                  <c:idx val="2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37-5918-4A61-9771-4BDA5A6BC233}"/>
                    </c:ext>
                  </c:extLst>
                </c:dPt>
                <c:dPt>
                  <c:idx val="2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39-5918-4A61-9771-4BDA5A6BC233}"/>
                    </c:ext>
                  </c:extLst>
                </c:dPt>
                <c:dPt>
                  <c:idx val="2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3B-5918-4A61-9771-4BDA5A6BC233}"/>
                    </c:ext>
                  </c:extLst>
                </c:dPt>
                <c:dPt>
                  <c:idx val="3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3D-5918-4A61-9771-4BDA5A6BC233}"/>
                    </c:ext>
                  </c:extLst>
                </c:dPt>
                <c:dPt>
                  <c:idx val="3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3F-5918-4A61-9771-4BDA5A6BC233}"/>
                    </c:ext>
                  </c:extLst>
                </c:dPt>
                <c:dPt>
                  <c:idx val="3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41-5918-4A61-9771-4BDA5A6BC233}"/>
                    </c:ext>
                  </c:extLst>
                </c:dPt>
                <c:dPt>
                  <c:idx val="3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43-5918-4A61-9771-4BDA5A6BC233}"/>
                    </c:ext>
                  </c:extLst>
                </c:dPt>
                <c:dPt>
                  <c:idx val="3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45-5918-4A61-9771-4BDA5A6BC233}"/>
                    </c:ext>
                  </c:extLst>
                </c:dPt>
                <c:dPt>
                  <c:idx val="3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47-5918-4A61-9771-4BDA5A6BC233}"/>
                    </c:ext>
                  </c:extLst>
                </c:dPt>
                <c:dPt>
                  <c:idx val="3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49-5918-4A61-9771-4BDA5A6BC233}"/>
                    </c:ext>
                  </c:extLst>
                </c:dPt>
                <c:dPt>
                  <c:idx val="3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4B-5918-4A61-9771-4BDA5A6BC233}"/>
                    </c:ext>
                  </c:extLst>
                </c:dPt>
                <c:dPt>
                  <c:idx val="3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4D-5918-4A61-9771-4BDA5A6BC233}"/>
                    </c:ext>
                  </c:extLst>
                </c:dPt>
                <c:dPt>
                  <c:idx val="3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4F-5918-4A61-9771-4BDA5A6BC233}"/>
                    </c:ext>
                  </c:extLst>
                </c:dPt>
                <c:dPt>
                  <c:idx val="4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51-5918-4A61-9771-4BDA5A6BC233}"/>
                    </c:ext>
                  </c:extLst>
                </c:dPt>
                <c:dPt>
                  <c:idx val="4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53-5918-4A61-9771-4BDA5A6BC233}"/>
                    </c:ext>
                  </c:extLst>
                </c:dPt>
                <c:dPt>
                  <c:idx val="4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55-5918-4A61-9771-4BDA5A6BC233}"/>
                    </c:ext>
                  </c:extLst>
                </c:dPt>
                <c:dPt>
                  <c:idx val="4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57-5918-4A61-9771-4BDA5A6BC233}"/>
                    </c:ext>
                  </c:extLst>
                </c:dPt>
                <c:dPt>
                  <c:idx val="4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59-5918-4A61-9771-4BDA5A6BC233}"/>
                    </c:ext>
                  </c:extLst>
                </c:dPt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 cap="flat" cmpd="sng" algn="ctr">
                        <a:solidFill>
                          <a:schemeClr val="tx1">
                            <a:lumMod val="35000"/>
                            <a:lumOff val="65000"/>
                          </a:schemeClr>
                        </a:solidFill>
                        <a:round/>
                      </a:ln>
                      <a:effectLst/>
                    </c:spPr>
                  </c:leaderLines>
                  <c:extLst xmlns:c15="http://schemas.microsoft.com/office/drawing/2012/chart">
                    <c:ext xmlns:c15="http://schemas.microsoft.com/office/drawing/2012/chart" uri="{CE6537A1-D6FC-4f65-9D91-7224C49458BB}"/>
                  </c:extLst>
                </c:dLbls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('Données '!$C$199,'Données '!$E$199,'Données '!$G$199,'Données '!$I$199,'Données '!$K$199,'Données '!$M$199,'Données '!$O$199)</c15:sqref>
                        </c15:formulaRef>
                      </c:ext>
                    </c:extLst>
                    <c:strCache>
                      <c:ptCount val="7"/>
                      <c:pt idx="0">
                        <c:v>ESQ ==&gt; APD</c:v>
                      </c:pt>
                      <c:pt idx="1">
                        <c:v>Fin études/AO</c:v>
                      </c:pt>
                      <c:pt idx="2">
                        <c:v>OS</c:v>
                      </c:pt>
                      <c:pt idx="3">
                        <c:v>Travaux</c:v>
                      </c:pt>
                      <c:pt idx="4">
                        <c:v>GPA</c:v>
                      </c:pt>
                      <c:pt idx="5">
                        <c:v>Clôture défisc</c:v>
                      </c:pt>
                      <c:pt idx="6">
                        <c:v>STOP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('Données '!$C$202,'Données '!$E$202,'Données '!$G$202,'Données '!$I$202,'Données '!$K$202,'Données '!$M$202,'Données '!$O$202)</c15:sqref>
                        </c15:formulaRef>
                      </c:ext>
                    </c:extLst>
                    <c:numCache>
                      <c:formatCode>General</c:formatCode>
                      <c:ptCount val="7"/>
                      <c:pt idx="0">
                        <c:v>2</c:v>
                      </c:pt>
                      <c:pt idx="1">
                        <c:v>2</c:v>
                      </c:pt>
                      <c:pt idx="2">
                        <c:v>0</c:v>
                      </c:pt>
                      <c:pt idx="3">
                        <c:v>1</c:v>
                      </c:pt>
                      <c:pt idx="4">
                        <c:v>1</c:v>
                      </c:pt>
                      <c:pt idx="5">
                        <c:v>0</c:v>
                      </c:pt>
                      <c:pt idx="6">
                        <c:v>0</c:v>
                      </c:pt>
                    </c:numCache>
                  </c:numRef>
                </c:val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5A-5918-4A61-9771-4BDA5A6BC233}"/>
                  </c:ext>
                </c:extLst>
              </c15:ser>
            </c15:filteredPieSeries>
            <c15:filteredPieSeries>
              <c15:ser>
                <c:idx val="3"/>
                <c:order val="3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'Données '!$B$203</c15:sqref>
                        </c15:formulaRef>
                      </c:ext>
                    </c:extLst>
                    <c:strCache>
                      <c:ptCount val="1"/>
                      <c:pt idx="0">
                        <c:v>DAM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5C-5918-4A61-9771-4BDA5A6BC233}"/>
                    </c:ext>
                  </c:extLst>
                </c:dPt>
                <c:dPt>
                  <c:idx val="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5E-5918-4A61-9771-4BDA5A6BC233}"/>
                    </c:ext>
                  </c:extLst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60-5918-4A61-9771-4BDA5A6BC233}"/>
                    </c:ext>
                  </c:extLst>
                </c:dPt>
                <c:dPt>
                  <c:idx val="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62-5918-4A61-9771-4BDA5A6BC233}"/>
                    </c:ext>
                  </c:extLst>
                </c:dPt>
                <c:dPt>
                  <c:idx val="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64-5918-4A61-9771-4BDA5A6BC233}"/>
                    </c:ext>
                  </c:extLst>
                </c:dPt>
                <c:dPt>
                  <c:idx val="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66-5918-4A61-9771-4BDA5A6BC233}"/>
                    </c:ext>
                  </c:extLst>
                </c:dPt>
                <c:dPt>
                  <c:idx val="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68-5918-4A61-9771-4BDA5A6BC233}"/>
                    </c:ext>
                  </c:extLst>
                </c:dPt>
                <c:dPt>
                  <c:idx val="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6A-5918-4A61-9771-4BDA5A6BC233}"/>
                    </c:ext>
                  </c:extLst>
                </c:dPt>
                <c:dPt>
                  <c:idx val="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6C-5918-4A61-9771-4BDA5A6BC233}"/>
                    </c:ext>
                  </c:extLst>
                </c:dPt>
                <c:dPt>
                  <c:idx val="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6E-5918-4A61-9771-4BDA5A6BC233}"/>
                    </c:ext>
                  </c:extLst>
                </c:dPt>
                <c:dPt>
                  <c:idx val="1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70-5918-4A61-9771-4BDA5A6BC233}"/>
                    </c:ext>
                  </c:extLst>
                </c:dPt>
                <c:dPt>
                  <c:idx val="1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72-5918-4A61-9771-4BDA5A6BC233}"/>
                    </c:ext>
                  </c:extLst>
                </c:dPt>
                <c:dPt>
                  <c:idx val="1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74-5918-4A61-9771-4BDA5A6BC233}"/>
                    </c:ext>
                  </c:extLst>
                </c:dPt>
                <c:dPt>
                  <c:idx val="1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76-5918-4A61-9771-4BDA5A6BC233}"/>
                    </c:ext>
                  </c:extLst>
                </c:dPt>
                <c:dPt>
                  <c:idx val="1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78-5918-4A61-9771-4BDA5A6BC233}"/>
                    </c:ext>
                  </c:extLst>
                </c:dPt>
                <c:dPt>
                  <c:idx val="1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7A-5918-4A61-9771-4BDA5A6BC233}"/>
                    </c:ext>
                  </c:extLst>
                </c:dPt>
                <c:dPt>
                  <c:idx val="1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7C-5918-4A61-9771-4BDA5A6BC233}"/>
                    </c:ext>
                  </c:extLst>
                </c:dPt>
                <c:dPt>
                  <c:idx val="1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7E-5918-4A61-9771-4BDA5A6BC233}"/>
                    </c:ext>
                  </c:extLst>
                </c:dPt>
                <c:dPt>
                  <c:idx val="1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80-5918-4A61-9771-4BDA5A6BC233}"/>
                    </c:ext>
                  </c:extLst>
                </c:dPt>
                <c:dPt>
                  <c:idx val="1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82-5918-4A61-9771-4BDA5A6BC233}"/>
                    </c:ext>
                  </c:extLst>
                </c:dPt>
                <c:dPt>
                  <c:idx val="2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84-5918-4A61-9771-4BDA5A6BC233}"/>
                    </c:ext>
                  </c:extLst>
                </c:dPt>
                <c:dPt>
                  <c:idx val="2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86-5918-4A61-9771-4BDA5A6BC233}"/>
                    </c:ext>
                  </c:extLst>
                </c:dPt>
                <c:dPt>
                  <c:idx val="2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88-5918-4A61-9771-4BDA5A6BC233}"/>
                    </c:ext>
                  </c:extLst>
                </c:dPt>
                <c:dPt>
                  <c:idx val="2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8A-5918-4A61-9771-4BDA5A6BC233}"/>
                    </c:ext>
                  </c:extLst>
                </c:dPt>
                <c:dPt>
                  <c:idx val="2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8C-5918-4A61-9771-4BDA5A6BC233}"/>
                    </c:ext>
                  </c:extLst>
                </c:dPt>
                <c:dPt>
                  <c:idx val="2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8E-5918-4A61-9771-4BDA5A6BC233}"/>
                    </c:ext>
                  </c:extLst>
                </c:dPt>
                <c:dPt>
                  <c:idx val="2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90-5918-4A61-9771-4BDA5A6BC233}"/>
                    </c:ext>
                  </c:extLst>
                </c:dPt>
                <c:dPt>
                  <c:idx val="2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92-5918-4A61-9771-4BDA5A6BC233}"/>
                    </c:ext>
                  </c:extLst>
                </c:dPt>
                <c:dPt>
                  <c:idx val="2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94-5918-4A61-9771-4BDA5A6BC233}"/>
                    </c:ext>
                  </c:extLst>
                </c:dPt>
                <c:dPt>
                  <c:idx val="2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96-5918-4A61-9771-4BDA5A6BC233}"/>
                    </c:ext>
                  </c:extLst>
                </c:dPt>
                <c:dPt>
                  <c:idx val="3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98-5918-4A61-9771-4BDA5A6BC233}"/>
                    </c:ext>
                  </c:extLst>
                </c:dPt>
                <c:dPt>
                  <c:idx val="3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9A-5918-4A61-9771-4BDA5A6BC233}"/>
                    </c:ext>
                  </c:extLst>
                </c:dPt>
                <c:dPt>
                  <c:idx val="3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9C-5918-4A61-9771-4BDA5A6BC233}"/>
                    </c:ext>
                  </c:extLst>
                </c:dPt>
                <c:dPt>
                  <c:idx val="3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9E-5918-4A61-9771-4BDA5A6BC233}"/>
                    </c:ext>
                  </c:extLst>
                </c:dPt>
                <c:dPt>
                  <c:idx val="3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A0-5918-4A61-9771-4BDA5A6BC233}"/>
                    </c:ext>
                  </c:extLst>
                </c:dPt>
                <c:dPt>
                  <c:idx val="3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A2-5918-4A61-9771-4BDA5A6BC233}"/>
                    </c:ext>
                  </c:extLst>
                </c:dPt>
                <c:dPt>
                  <c:idx val="3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A4-5918-4A61-9771-4BDA5A6BC233}"/>
                    </c:ext>
                  </c:extLst>
                </c:dPt>
                <c:dPt>
                  <c:idx val="3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A6-5918-4A61-9771-4BDA5A6BC233}"/>
                    </c:ext>
                  </c:extLst>
                </c:dPt>
                <c:dPt>
                  <c:idx val="3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A8-5918-4A61-9771-4BDA5A6BC233}"/>
                    </c:ext>
                  </c:extLst>
                </c:dPt>
                <c:dPt>
                  <c:idx val="3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AA-5918-4A61-9771-4BDA5A6BC233}"/>
                    </c:ext>
                  </c:extLst>
                </c:dPt>
                <c:dPt>
                  <c:idx val="4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AC-5918-4A61-9771-4BDA5A6BC233}"/>
                    </c:ext>
                  </c:extLst>
                </c:dPt>
                <c:dPt>
                  <c:idx val="4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AE-5918-4A61-9771-4BDA5A6BC233}"/>
                    </c:ext>
                  </c:extLst>
                </c:dPt>
                <c:dPt>
                  <c:idx val="4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B0-5918-4A61-9771-4BDA5A6BC233}"/>
                    </c:ext>
                  </c:extLst>
                </c:dPt>
                <c:dPt>
                  <c:idx val="4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B2-5918-4A61-9771-4BDA5A6BC233}"/>
                    </c:ext>
                  </c:extLst>
                </c:dPt>
                <c:dPt>
                  <c:idx val="4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B4-5918-4A61-9771-4BDA5A6BC233}"/>
                    </c:ext>
                  </c:extLst>
                </c:dPt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 cap="flat" cmpd="sng" algn="ctr">
                        <a:solidFill>
                          <a:schemeClr val="tx1">
                            <a:lumMod val="35000"/>
                            <a:lumOff val="65000"/>
                          </a:schemeClr>
                        </a:solidFill>
                        <a:round/>
                      </a:ln>
                      <a:effectLst/>
                    </c:spPr>
                  </c:leaderLines>
                  <c:extLst xmlns:c15="http://schemas.microsoft.com/office/drawing/2012/chart">
                    <c:ext xmlns:c15="http://schemas.microsoft.com/office/drawing/2012/chart" uri="{CE6537A1-D6FC-4f65-9D91-7224C49458BB}"/>
                  </c:extLst>
                </c:dLbls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('Données '!$C$199,'Données '!$E$199,'Données '!$G$199,'Données '!$I$199,'Données '!$K$199,'Données '!$M$199,'Données '!$O$199)</c15:sqref>
                        </c15:formulaRef>
                      </c:ext>
                    </c:extLst>
                    <c:strCache>
                      <c:ptCount val="7"/>
                      <c:pt idx="0">
                        <c:v>ESQ ==&gt; APD</c:v>
                      </c:pt>
                      <c:pt idx="1">
                        <c:v>Fin études/AO</c:v>
                      </c:pt>
                      <c:pt idx="2">
                        <c:v>OS</c:v>
                      </c:pt>
                      <c:pt idx="3">
                        <c:v>Travaux</c:v>
                      </c:pt>
                      <c:pt idx="4">
                        <c:v>GPA</c:v>
                      </c:pt>
                      <c:pt idx="5">
                        <c:v>Clôture défisc</c:v>
                      </c:pt>
                      <c:pt idx="6">
                        <c:v>STOP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('Données '!$C$203,'Données '!$E$203,'Données '!$G$203,'Données '!$I$203,'Données '!$K$203,'Données '!$M$203,'Données '!$O$203)</c15:sqref>
                        </c15:formulaRef>
                      </c:ext>
                    </c:extLst>
                    <c:numCache>
                      <c:formatCode>General</c:formatCode>
                      <c:ptCount val="7"/>
                      <c:pt idx="0">
                        <c:v>0</c:v>
                      </c:pt>
                      <c:pt idx="1">
                        <c:v>2</c:v>
                      </c:pt>
                      <c:pt idx="2">
                        <c:v>0</c:v>
                      </c:pt>
                      <c:pt idx="3">
                        <c:v>1</c:v>
                      </c:pt>
                      <c:pt idx="4">
                        <c:v>0</c:v>
                      </c:pt>
                      <c:pt idx="5">
                        <c:v>1</c:v>
                      </c:pt>
                      <c:pt idx="6">
                        <c:v>0</c:v>
                      </c:pt>
                    </c:numCache>
                  </c:numRef>
                </c:val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B5-5918-4A61-9771-4BDA5A6BC233}"/>
                  </c:ext>
                </c:extLst>
              </c15:ser>
            </c15:filteredPieSeries>
            <c15:filteredPieSeries>
              <c15:ser>
                <c:idx val="4"/>
                <c:order val="4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'Données '!$B$204</c15:sqref>
                        </c15:formulaRef>
                      </c:ext>
                    </c:extLst>
                    <c:strCache>
                      <c:ptCount val="1"/>
                      <c:pt idx="0">
                        <c:v>NLE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B7-5918-4A61-9771-4BDA5A6BC233}"/>
                    </c:ext>
                  </c:extLst>
                </c:dPt>
                <c:dPt>
                  <c:idx val="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B9-5918-4A61-9771-4BDA5A6BC233}"/>
                    </c:ext>
                  </c:extLst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BB-5918-4A61-9771-4BDA5A6BC233}"/>
                    </c:ext>
                  </c:extLst>
                </c:dPt>
                <c:dPt>
                  <c:idx val="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BD-5918-4A61-9771-4BDA5A6BC233}"/>
                    </c:ext>
                  </c:extLst>
                </c:dPt>
                <c:dPt>
                  <c:idx val="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BF-5918-4A61-9771-4BDA5A6BC233}"/>
                    </c:ext>
                  </c:extLst>
                </c:dPt>
                <c:dPt>
                  <c:idx val="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C1-5918-4A61-9771-4BDA5A6BC233}"/>
                    </c:ext>
                  </c:extLst>
                </c:dPt>
                <c:dPt>
                  <c:idx val="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C3-5918-4A61-9771-4BDA5A6BC233}"/>
                    </c:ext>
                  </c:extLst>
                </c:dPt>
                <c:dPt>
                  <c:idx val="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C5-5918-4A61-9771-4BDA5A6BC233}"/>
                    </c:ext>
                  </c:extLst>
                </c:dPt>
                <c:dPt>
                  <c:idx val="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C7-5918-4A61-9771-4BDA5A6BC233}"/>
                    </c:ext>
                  </c:extLst>
                </c:dPt>
                <c:dPt>
                  <c:idx val="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C9-5918-4A61-9771-4BDA5A6BC233}"/>
                    </c:ext>
                  </c:extLst>
                </c:dPt>
                <c:dPt>
                  <c:idx val="1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CB-5918-4A61-9771-4BDA5A6BC233}"/>
                    </c:ext>
                  </c:extLst>
                </c:dPt>
                <c:dPt>
                  <c:idx val="1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CD-5918-4A61-9771-4BDA5A6BC233}"/>
                    </c:ext>
                  </c:extLst>
                </c:dPt>
                <c:dPt>
                  <c:idx val="1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CF-5918-4A61-9771-4BDA5A6BC233}"/>
                    </c:ext>
                  </c:extLst>
                </c:dPt>
                <c:dPt>
                  <c:idx val="1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D1-5918-4A61-9771-4BDA5A6BC233}"/>
                    </c:ext>
                  </c:extLst>
                </c:dPt>
                <c:dPt>
                  <c:idx val="1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D3-5918-4A61-9771-4BDA5A6BC233}"/>
                    </c:ext>
                  </c:extLst>
                </c:dPt>
                <c:dPt>
                  <c:idx val="1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D5-5918-4A61-9771-4BDA5A6BC233}"/>
                    </c:ext>
                  </c:extLst>
                </c:dPt>
                <c:dPt>
                  <c:idx val="1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D7-5918-4A61-9771-4BDA5A6BC233}"/>
                    </c:ext>
                  </c:extLst>
                </c:dPt>
                <c:dPt>
                  <c:idx val="1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D9-5918-4A61-9771-4BDA5A6BC233}"/>
                    </c:ext>
                  </c:extLst>
                </c:dPt>
                <c:dPt>
                  <c:idx val="1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DB-5918-4A61-9771-4BDA5A6BC233}"/>
                    </c:ext>
                  </c:extLst>
                </c:dPt>
                <c:dPt>
                  <c:idx val="1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DD-5918-4A61-9771-4BDA5A6BC233}"/>
                    </c:ext>
                  </c:extLst>
                </c:dPt>
                <c:dPt>
                  <c:idx val="2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DF-5918-4A61-9771-4BDA5A6BC233}"/>
                    </c:ext>
                  </c:extLst>
                </c:dPt>
                <c:dPt>
                  <c:idx val="2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E1-5918-4A61-9771-4BDA5A6BC233}"/>
                    </c:ext>
                  </c:extLst>
                </c:dPt>
                <c:dPt>
                  <c:idx val="2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E3-5918-4A61-9771-4BDA5A6BC233}"/>
                    </c:ext>
                  </c:extLst>
                </c:dPt>
                <c:dPt>
                  <c:idx val="2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E5-5918-4A61-9771-4BDA5A6BC233}"/>
                    </c:ext>
                  </c:extLst>
                </c:dPt>
                <c:dPt>
                  <c:idx val="2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E7-5918-4A61-9771-4BDA5A6BC233}"/>
                    </c:ext>
                  </c:extLst>
                </c:dPt>
                <c:dPt>
                  <c:idx val="2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E9-5918-4A61-9771-4BDA5A6BC233}"/>
                    </c:ext>
                  </c:extLst>
                </c:dPt>
                <c:dPt>
                  <c:idx val="2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EB-5918-4A61-9771-4BDA5A6BC233}"/>
                    </c:ext>
                  </c:extLst>
                </c:dPt>
                <c:dPt>
                  <c:idx val="2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ED-5918-4A61-9771-4BDA5A6BC233}"/>
                    </c:ext>
                  </c:extLst>
                </c:dPt>
                <c:dPt>
                  <c:idx val="2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EF-5918-4A61-9771-4BDA5A6BC233}"/>
                    </c:ext>
                  </c:extLst>
                </c:dPt>
                <c:dPt>
                  <c:idx val="2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F1-5918-4A61-9771-4BDA5A6BC233}"/>
                    </c:ext>
                  </c:extLst>
                </c:dPt>
                <c:dPt>
                  <c:idx val="3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F3-5918-4A61-9771-4BDA5A6BC233}"/>
                    </c:ext>
                  </c:extLst>
                </c:dPt>
                <c:dPt>
                  <c:idx val="3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F5-5918-4A61-9771-4BDA5A6BC233}"/>
                    </c:ext>
                  </c:extLst>
                </c:dPt>
                <c:dPt>
                  <c:idx val="3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F7-5918-4A61-9771-4BDA5A6BC233}"/>
                    </c:ext>
                  </c:extLst>
                </c:dPt>
                <c:dPt>
                  <c:idx val="3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F9-5918-4A61-9771-4BDA5A6BC233}"/>
                    </c:ext>
                  </c:extLst>
                </c:dPt>
                <c:dPt>
                  <c:idx val="3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FB-5918-4A61-9771-4BDA5A6BC233}"/>
                    </c:ext>
                  </c:extLst>
                </c:dPt>
                <c:dPt>
                  <c:idx val="3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FD-5918-4A61-9771-4BDA5A6BC233}"/>
                    </c:ext>
                  </c:extLst>
                </c:dPt>
                <c:dPt>
                  <c:idx val="3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FF-5918-4A61-9771-4BDA5A6BC233}"/>
                    </c:ext>
                  </c:extLst>
                </c:dPt>
                <c:dPt>
                  <c:idx val="3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01-5918-4A61-9771-4BDA5A6BC233}"/>
                    </c:ext>
                  </c:extLst>
                </c:dPt>
                <c:dPt>
                  <c:idx val="3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03-5918-4A61-9771-4BDA5A6BC233}"/>
                    </c:ext>
                  </c:extLst>
                </c:dPt>
                <c:dPt>
                  <c:idx val="3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05-5918-4A61-9771-4BDA5A6BC233}"/>
                    </c:ext>
                  </c:extLst>
                </c:dPt>
                <c:dPt>
                  <c:idx val="4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07-5918-4A61-9771-4BDA5A6BC233}"/>
                    </c:ext>
                  </c:extLst>
                </c:dPt>
                <c:dPt>
                  <c:idx val="4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09-5918-4A61-9771-4BDA5A6BC233}"/>
                    </c:ext>
                  </c:extLst>
                </c:dPt>
                <c:dPt>
                  <c:idx val="4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0B-5918-4A61-9771-4BDA5A6BC233}"/>
                    </c:ext>
                  </c:extLst>
                </c:dPt>
                <c:dPt>
                  <c:idx val="4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0D-5918-4A61-9771-4BDA5A6BC233}"/>
                    </c:ext>
                  </c:extLst>
                </c:dPt>
                <c:dPt>
                  <c:idx val="4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0F-5918-4A61-9771-4BDA5A6BC233}"/>
                    </c:ext>
                  </c:extLst>
                </c:dPt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 cap="flat" cmpd="sng" algn="ctr">
                        <a:solidFill>
                          <a:schemeClr val="tx1">
                            <a:lumMod val="35000"/>
                            <a:lumOff val="65000"/>
                          </a:schemeClr>
                        </a:solidFill>
                        <a:round/>
                      </a:ln>
                      <a:effectLst/>
                    </c:spPr>
                  </c:leaderLines>
                  <c:extLst xmlns:c15="http://schemas.microsoft.com/office/drawing/2012/chart">
                    <c:ext xmlns:c15="http://schemas.microsoft.com/office/drawing/2012/chart" uri="{CE6537A1-D6FC-4f65-9D91-7224C49458BB}"/>
                  </c:extLst>
                </c:dLbls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('Données '!$C$199,'Données '!$E$199,'Données '!$G$199,'Données '!$I$199,'Données '!$K$199,'Données '!$M$199,'Données '!$O$199)</c15:sqref>
                        </c15:formulaRef>
                      </c:ext>
                    </c:extLst>
                    <c:strCache>
                      <c:ptCount val="7"/>
                      <c:pt idx="0">
                        <c:v>ESQ ==&gt; APD</c:v>
                      </c:pt>
                      <c:pt idx="1">
                        <c:v>Fin études/AO</c:v>
                      </c:pt>
                      <c:pt idx="2">
                        <c:v>OS</c:v>
                      </c:pt>
                      <c:pt idx="3">
                        <c:v>Travaux</c:v>
                      </c:pt>
                      <c:pt idx="4">
                        <c:v>GPA</c:v>
                      </c:pt>
                      <c:pt idx="5">
                        <c:v>Clôture défisc</c:v>
                      </c:pt>
                      <c:pt idx="6">
                        <c:v>STOP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('Données '!$C$204,'Données '!$E$204,'Données '!$G$204,'Données '!$I$204,'Données '!$K$204,'Données '!$M$204,'Données '!$O$204)</c15:sqref>
                        </c15:formulaRef>
                      </c:ext>
                    </c:extLst>
                    <c:numCache>
                      <c:formatCode>General</c:formatCode>
                      <c:ptCount val="7"/>
                      <c:pt idx="0">
                        <c:v>0</c:v>
                      </c:pt>
                      <c:pt idx="1">
                        <c:v>4</c:v>
                      </c:pt>
                      <c:pt idx="2">
                        <c:v>0</c:v>
                      </c:pt>
                      <c:pt idx="3">
                        <c:v>2</c:v>
                      </c:pt>
                      <c:pt idx="4">
                        <c:v>0</c:v>
                      </c:pt>
                      <c:pt idx="5">
                        <c:v>0</c:v>
                      </c:pt>
                      <c:pt idx="6">
                        <c:v>0</c:v>
                      </c:pt>
                    </c:numCache>
                  </c:numRef>
                </c:val>
                <c:extLst xmlns:c15="http://schemas.microsoft.com/office/drawing/2012/chart">
                  <c:ext xmlns:c16="http://schemas.microsoft.com/office/drawing/2014/chart" uri="{C3380CC4-5D6E-409C-BE32-E72D297353CC}">
                    <c16:uniqueId val="{00000110-5918-4A61-9771-4BDA5A6BC233}"/>
                  </c:ext>
                </c:extLst>
              </c15:ser>
            </c15:filteredPieSeries>
            <c15:filteredPieSeries>
              <c15:ser>
                <c:idx val="5"/>
                <c:order val="5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'Données initiales'!#REF!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12-5918-4A61-9771-4BDA5A6BC233}"/>
                    </c:ext>
                  </c:extLst>
                </c:dPt>
                <c:dPt>
                  <c:idx val="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14-5918-4A61-9771-4BDA5A6BC233}"/>
                    </c:ext>
                  </c:extLst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16-5918-4A61-9771-4BDA5A6BC233}"/>
                    </c:ext>
                  </c:extLst>
                </c:dPt>
                <c:dPt>
                  <c:idx val="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18-5918-4A61-9771-4BDA5A6BC233}"/>
                    </c:ext>
                  </c:extLst>
                </c:dPt>
                <c:dPt>
                  <c:idx val="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1A-5918-4A61-9771-4BDA5A6BC233}"/>
                    </c:ext>
                  </c:extLst>
                </c:dPt>
                <c:dPt>
                  <c:idx val="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1C-5918-4A61-9771-4BDA5A6BC233}"/>
                    </c:ext>
                  </c:extLst>
                </c:dPt>
                <c:dPt>
                  <c:idx val="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1E-5918-4A61-9771-4BDA5A6BC233}"/>
                    </c:ext>
                  </c:extLst>
                </c:dPt>
                <c:dPt>
                  <c:idx val="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20-5918-4A61-9771-4BDA5A6BC233}"/>
                    </c:ext>
                  </c:extLst>
                </c:dPt>
                <c:dPt>
                  <c:idx val="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22-5918-4A61-9771-4BDA5A6BC233}"/>
                    </c:ext>
                  </c:extLst>
                </c:dPt>
                <c:dPt>
                  <c:idx val="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24-5918-4A61-9771-4BDA5A6BC233}"/>
                    </c:ext>
                  </c:extLst>
                </c:dPt>
                <c:dPt>
                  <c:idx val="1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26-5918-4A61-9771-4BDA5A6BC233}"/>
                    </c:ext>
                  </c:extLst>
                </c:dPt>
                <c:dPt>
                  <c:idx val="1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28-5918-4A61-9771-4BDA5A6BC233}"/>
                    </c:ext>
                  </c:extLst>
                </c:dPt>
                <c:dPt>
                  <c:idx val="1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2A-5918-4A61-9771-4BDA5A6BC233}"/>
                    </c:ext>
                  </c:extLst>
                </c:dPt>
                <c:dPt>
                  <c:idx val="1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2C-5918-4A61-9771-4BDA5A6BC233}"/>
                    </c:ext>
                  </c:extLst>
                </c:dPt>
                <c:dPt>
                  <c:idx val="1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2E-5918-4A61-9771-4BDA5A6BC233}"/>
                    </c:ext>
                  </c:extLst>
                </c:dPt>
                <c:dPt>
                  <c:idx val="1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30-5918-4A61-9771-4BDA5A6BC233}"/>
                    </c:ext>
                  </c:extLst>
                </c:dPt>
                <c:dPt>
                  <c:idx val="1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32-5918-4A61-9771-4BDA5A6BC233}"/>
                    </c:ext>
                  </c:extLst>
                </c:dPt>
                <c:dPt>
                  <c:idx val="1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34-5918-4A61-9771-4BDA5A6BC233}"/>
                    </c:ext>
                  </c:extLst>
                </c:dPt>
                <c:dPt>
                  <c:idx val="1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36-5918-4A61-9771-4BDA5A6BC233}"/>
                    </c:ext>
                  </c:extLst>
                </c:dPt>
                <c:dPt>
                  <c:idx val="1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38-5918-4A61-9771-4BDA5A6BC233}"/>
                    </c:ext>
                  </c:extLst>
                </c:dPt>
                <c:dPt>
                  <c:idx val="2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3A-5918-4A61-9771-4BDA5A6BC233}"/>
                    </c:ext>
                  </c:extLst>
                </c:dPt>
                <c:dPt>
                  <c:idx val="2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3C-5918-4A61-9771-4BDA5A6BC233}"/>
                    </c:ext>
                  </c:extLst>
                </c:dPt>
                <c:dPt>
                  <c:idx val="2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3E-5918-4A61-9771-4BDA5A6BC233}"/>
                    </c:ext>
                  </c:extLst>
                </c:dPt>
                <c:dPt>
                  <c:idx val="2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40-5918-4A61-9771-4BDA5A6BC233}"/>
                    </c:ext>
                  </c:extLst>
                </c:dPt>
                <c:dPt>
                  <c:idx val="2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42-5918-4A61-9771-4BDA5A6BC233}"/>
                    </c:ext>
                  </c:extLst>
                </c:dPt>
                <c:dPt>
                  <c:idx val="2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44-5918-4A61-9771-4BDA5A6BC233}"/>
                    </c:ext>
                  </c:extLst>
                </c:dPt>
                <c:dPt>
                  <c:idx val="2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46-5918-4A61-9771-4BDA5A6BC233}"/>
                    </c:ext>
                  </c:extLst>
                </c:dPt>
                <c:dPt>
                  <c:idx val="2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48-5918-4A61-9771-4BDA5A6BC233}"/>
                    </c:ext>
                  </c:extLst>
                </c:dPt>
                <c:dPt>
                  <c:idx val="2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4A-5918-4A61-9771-4BDA5A6BC233}"/>
                    </c:ext>
                  </c:extLst>
                </c:dPt>
                <c:dPt>
                  <c:idx val="2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4C-5918-4A61-9771-4BDA5A6BC233}"/>
                    </c:ext>
                  </c:extLst>
                </c:dPt>
                <c:dPt>
                  <c:idx val="3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4E-5918-4A61-9771-4BDA5A6BC233}"/>
                    </c:ext>
                  </c:extLst>
                </c:dPt>
                <c:dPt>
                  <c:idx val="3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50-5918-4A61-9771-4BDA5A6BC233}"/>
                    </c:ext>
                  </c:extLst>
                </c:dPt>
                <c:dPt>
                  <c:idx val="3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52-5918-4A61-9771-4BDA5A6BC233}"/>
                    </c:ext>
                  </c:extLst>
                </c:dPt>
                <c:dPt>
                  <c:idx val="3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54-5918-4A61-9771-4BDA5A6BC233}"/>
                    </c:ext>
                  </c:extLst>
                </c:dPt>
                <c:dPt>
                  <c:idx val="3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56-5918-4A61-9771-4BDA5A6BC233}"/>
                    </c:ext>
                  </c:extLst>
                </c:dPt>
                <c:dPt>
                  <c:idx val="3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58-5918-4A61-9771-4BDA5A6BC233}"/>
                    </c:ext>
                  </c:extLst>
                </c:dPt>
                <c:dPt>
                  <c:idx val="3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5A-5918-4A61-9771-4BDA5A6BC233}"/>
                    </c:ext>
                  </c:extLst>
                </c:dPt>
                <c:dPt>
                  <c:idx val="3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5C-5918-4A61-9771-4BDA5A6BC233}"/>
                    </c:ext>
                  </c:extLst>
                </c:dPt>
                <c:dPt>
                  <c:idx val="3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5E-5918-4A61-9771-4BDA5A6BC233}"/>
                    </c:ext>
                  </c:extLst>
                </c:dPt>
                <c:dPt>
                  <c:idx val="3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60-5918-4A61-9771-4BDA5A6BC233}"/>
                    </c:ext>
                  </c:extLst>
                </c:dPt>
                <c:dPt>
                  <c:idx val="4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62-5918-4A61-9771-4BDA5A6BC233}"/>
                    </c:ext>
                  </c:extLst>
                </c:dPt>
                <c:dPt>
                  <c:idx val="4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64-5918-4A61-9771-4BDA5A6BC233}"/>
                    </c:ext>
                  </c:extLst>
                </c:dPt>
                <c:dPt>
                  <c:idx val="4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66-5918-4A61-9771-4BDA5A6BC233}"/>
                    </c:ext>
                  </c:extLst>
                </c:dPt>
                <c:dPt>
                  <c:idx val="4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68-5918-4A61-9771-4BDA5A6BC233}"/>
                    </c:ext>
                  </c:extLst>
                </c:dPt>
                <c:dPt>
                  <c:idx val="4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6A-5918-4A61-9771-4BDA5A6BC233}"/>
                    </c:ext>
                  </c:extLst>
                </c:dPt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 cap="flat" cmpd="sng" algn="ctr">
                        <a:solidFill>
                          <a:schemeClr val="tx1">
                            <a:lumMod val="35000"/>
                            <a:lumOff val="65000"/>
                          </a:schemeClr>
                        </a:solidFill>
                        <a:round/>
                      </a:ln>
                      <a:effectLst/>
                    </c:spPr>
                  </c:leaderLines>
                  <c:extLst xmlns:c15="http://schemas.microsoft.com/office/drawing/2012/chart">
                    <c:ext xmlns:c15="http://schemas.microsoft.com/office/drawing/2012/chart" uri="{CE6537A1-D6FC-4f65-9D91-7224C49458BB}"/>
                  </c:extLst>
                </c:dLbls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('Données '!$C$199,'Données '!$E$199,'Données '!$G$199,'Données '!$I$199,'Données '!$K$199,'Données '!$M$199,'Données '!$O$199)</c15:sqref>
                        </c15:formulaRef>
                      </c:ext>
                    </c:extLst>
                    <c:strCache>
                      <c:ptCount val="7"/>
                      <c:pt idx="0">
                        <c:v>ESQ ==&gt; APD</c:v>
                      </c:pt>
                      <c:pt idx="1">
                        <c:v>Fin études/AO</c:v>
                      </c:pt>
                      <c:pt idx="2">
                        <c:v>OS</c:v>
                      </c:pt>
                      <c:pt idx="3">
                        <c:v>Travaux</c:v>
                      </c:pt>
                      <c:pt idx="4">
                        <c:v>GPA</c:v>
                      </c:pt>
                      <c:pt idx="5">
                        <c:v>Clôture défisc</c:v>
                      </c:pt>
                      <c:pt idx="6">
                        <c:v>STOP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'Données initiales'!#REF!</c15:sqref>
                        </c15:formulaRef>
                      </c:ext>
                    </c:extLst>
                    <c:numCache>
                      <c:formatCode>General</c:formatCode>
                      <c:ptCount val="1"/>
                      <c:pt idx="0">
                        <c:v>1</c:v>
                      </c:pt>
                    </c:numCache>
                  </c:numRef>
                </c:val>
                <c:extLst xmlns:c15="http://schemas.microsoft.com/office/drawing/2012/chart">
                  <c:ext xmlns:c16="http://schemas.microsoft.com/office/drawing/2014/chart" uri="{C3380CC4-5D6E-409C-BE32-E72D297353CC}">
                    <c16:uniqueId val="{0000016B-5918-4A61-9771-4BDA5A6BC233}"/>
                  </c:ext>
                </c:extLst>
              </c15:ser>
            </c15:filteredPieSeries>
            <c15:filteredPieSeries>
              <c15:ser>
                <c:idx val="6"/>
                <c:order val="6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'Données '!$B$205</c15:sqref>
                        </c15:formulaRef>
                      </c:ext>
                    </c:extLst>
                    <c:strCache>
                      <c:ptCount val="1"/>
                      <c:pt idx="0">
                        <c:v>SRI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6D-5918-4A61-9771-4BDA5A6BC233}"/>
                    </c:ext>
                  </c:extLst>
                </c:dPt>
                <c:dPt>
                  <c:idx val="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6F-5918-4A61-9771-4BDA5A6BC233}"/>
                    </c:ext>
                  </c:extLst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71-5918-4A61-9771-4BDA5A6BC233}"/>
                    </c:ext>
                  </c:extLst>
                </c:dPt>
                <c:dPt>
                  <c:idx val="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73-5918-4A61-9771-4BDA5A6BC233}"/>
                    </c:ext>
                  </c:extLst>
                </c:dPt>
                <c:dPt>
                  <c:idx val="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75-5918-4A61-9771-4BDA5A6BC233}"/>
                    </c:ext>
                  </c:extLst>
                </c:dPt>
                <c:dPt>
                  <c:idx val="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77-5918-4A61-9771-4BDA5A6BC233}"/>
                    </c:ext>
                  </c:extLst>
                </c:dPt>
                <c:dPt>
                  <c:idx val="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79-5918-4A61-9771-4BDA5A6BC233}"/>
                    </c:ext>
                  </c:extLst>
                </c:dPt>
                <c:dPt>
                  <c:idx val="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7B-5918-4A61-9771-4BDA5A6BC233}"/>
                    </c:ext>
                  </c:extLst>
                </c:dPt>
                <c:dPt>
                  <c:idx val="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7D-5918-4A61-9771-4BDA5A6BC233}"/>
                    </c:ext>
                  </c:extLst>
                </c:dPt>
                <c:dPt>
                  <c:idx val="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7F-5918-4A61-9771-4BDA5A6BC233}"/>
                    </c:ext>
                  </c:extLst>
                </c:dPt>
                <c:dPt>
                  <c:idx val="1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81-5918-4A61-9771-4BDA5A6BC233}"/>
                    </c:ext>
                  </c:extLst>
                </c:dPt>
                <c:dPt>
                  <c:idx val="1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83-5918-4A61-9771-4BDA5A6BC233}"/>
                    </c:ext>
                  </c:extLst>
                </c:dPt>
                <c:dPt>
                  <c:idx val="1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85-5918-4A61-9771-4BDA5A6BC233}"/>
                    </c:ext>
                  </c:extLst>
                </c:dPt>
                <c:dPt>
                  <c:idx val="1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87-5918-4A61-9771-4BDA5A6BC233}"/>
                    </c:ext>
                  </c:extLst>
                </c:dPt>
                <c:dPt>
                  <c:idx val="1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89-5918-4A61-9771-4BDA5A6BC233}"/>
                    </c:ext>
                  </c:extLst>
                </c:dPt>
                <c:dPt>
                  <c:idx val="1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8B-5918-4A61-9771-4BDA5A6BC233}"/>
                    </c:ext>
                  </c:extLst>
                </c:dPt>
                <c:dPt>
                  <c:idx val="1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8D-5918-4A61-9771-4BDA5A6BC233}"/>
                    </c:ext>
                  </c:extLst>
                </c:dPt>
                <c:dPt>
                  <c:idx val="1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8F-5918-4A61-9771-4BDA5A6BC233}"/>
                    </c:ext>
                  </c:extLst>
                </c:dPt>
                <c:dPt>
                  <c:idx val="1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91-5918-4A61-9771-4BDA5A6BC233}"/>
                    </c:ext>
                  </c:extLst>
                </c:dPt>
                <c:dPt>
                  <c:idx val="1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93-5918-4A61-9771-4BDA5A6BC233}"/>
                    </c:ext>
                  </c:extLst>
                </c:dPt>
                <c:dPt>
                  <c:idx val="2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95-5918-4A61-9771-4BDA5A6BC233}"/>
                    </c:ext>
                  </c:extLst>
                </c:dPt>
                <c:dPt>
                  <c:idx val="2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97-5918-4A61-9771-4BDA5A6BC233}"/>
                    </c:ext>
                  </c:extLst>
                </c:dPt>
                <c:dPt>
                  <c:idx val="2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99-5918-4A61-9771-4BDA5A6BC233}"/>
                    </c:ext>
                  </c:extLst>
                </c:dPt>
                <c:dPt>
                  <c:idx val="2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9B-5918-4A61-9771-4BDA5A6BC233}"/>
                    </c:ext>
                  </c:extLst>
                </c:dPt>
                <c:dPt>
                  <c:idx val="2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9D-5918-4A61-9771-4BDA5A6BC233}"/>
                    </c:ext>
                  </c:extLst>
                </c:dPt>
                <c:dPt>
                  <c:idx val="2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9F-5918-4A61-9771-4BDA5A6BC233}"/>
                    </c:ext>
                  </c:extLst>
                </c:dPt>
                <c:dPt>
                  <c:idx val="2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A1-5918-4A61-9771-4BDA5A6BC233}"/>
                    </c:ext>
                  </c:extLst>
                </c:dPt>
                <c:dPt>
                  <c:idx val="2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A3-5918-4A61-9771-4BDA5A6BC233}"/>
                    </c:ext>
                  </c:extLst>
                </c:dPt>
                <c:dPt>
                  <c:idx val="2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A5-5918-4A61-9771-4BDA5A6BC233}"/>
                    </c:ext>
                  </c:extLst>
                </c:dPt>
                <c:dPt>
                  <c:idx val="2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A7-5918-4A61-9771-4BDA5A6BC233}"/>
                    </c:ext>
                  </c:extLst>
                </c:dPt>
                <c:dPt>
                  <c:idx val="3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A9-5918-4A61-9771-4BDA5A6BC233}"/>
                    </c:ext>
                  </c:extLst>
                </c:dPt>
                <c:dPt>
                  <c:idx val="3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AB-5918-4A61-9771-4BDA5A6BC233}"/>
                    </c:ext>
                  </c:extLst>
                </c:dPt>
                <c:dPt>
                  <c:idx val="3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AD-5918-4A61-9771-4BDA5A6BC233}"/>
                    </c:ext>
                  </c:extLst>
                </c:dPt>
                <c:dPt>
                  <c:idx val="3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AF-5918-4A61-9771-4BDA5A6BC233}"/>
                    </c:ext>
                  </c:extLst>
                </c:dPt>
                <c:dPt>
                  <c:idx val="3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B1-5918-4A61-9771-4BDA5A6BC233}"/>
                    </c:ext>
                  </c:extLst>
                </c:dPt>
                <c:dPt>
                  <c:idx val="3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B3-5918-4A61-9771-4BDA5A6BC233}"/>
                    </c:ext>
                  </c:extLst>
                </c:dPt>
                <c:dPt>
                  <c:idx val="3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B5-5918-4A61-9771-4BDA5A6BC233}"/>
                    </c:ext>
                  </c:extLst>
                </c:dPt>
                <c:dPt>
                  <c:idx val="3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B7-5918-4A61-9771-4BDA5A6BC233}"/>
                    </c:ext>
                  </c:extLst>
                </c:dPt>
                <c:dPt>
                  <c:idx val="3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B9-5918-4A61-9771-4BDA5A6BC233}"/>
                    </c:ext>
                  </c:extLst>
                </c:dPt>
                <c:dPt>
                  <c:idx val="3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BB-5918-4A61-9771-4BDA5A6BC233}"/>
                    </c:ext>
                  </c:extLst>
                </c:dPt>
                <c:dPt>
                  <c:idx val="4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BD-5918-4A61-9771-4BDA5A6BC233}"/>
                    </c:ext>
                  </c:extLst>
                </c:dPt>
                <c:dPt>
                  <c:idx val="4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BF-5918-4A61-9771-4BDA5A6BC233}"/>
                    </c:ext>
                  </c:extLst>
                </c:dPt>
                <c:dPt>
                  <c:idx val="4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C1-5918-4A61-9771-4BDA5A6BC233}"/>
                    </c:ext>
                  </c:extLst>
                </c:dPt>
                <c:dPt>
                  <c:idx val="4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C3-5918-4A61-9771-4BDA5A6BC233}"/>
                    </c:ext>
                  </c:extLst>
                </c:dPt>
                <c:dPt>
                  <c:idx val="4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C5-5918-4A61-9771-4BDA5A6BC233}"/>
                    </c:ext>
                  </c:extLst>
                </c:dPt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 cap="flat" cmpd="sng" algn="ctr">
                        <a:solidFill>
                          <a:schemeClr val="tx1">
                            <a:lumMod val="35000"/>
                            <a:lumOff val="65000"/>
                          </a:schemeClr>
                        </a:solidFill>
                        <a:round/>
                      </a:ln>
                      <a:effectLst/>
                    </c:spPr>
                  </c:leaderLines>
                  <c:extLst xmlns:c15="http://schemas.microsoft.com/office/drawing/2012/chart">
                    <c:ext xmlns:c15="http://schemas.microsoft.com/office/drawing/2012/chart" uri="{CE6537A1-D6FC-4f65-9D91-7224C49458BB}"/>
                  </c:extLst>
                </c:dLbls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('Données '!$C$199,'Données '!$E$199,'Données '!$G$199,'Données '!$I$199,'Données '!$K$199,'Données '!$M$199,'Données '!$O$199)</c15:sqref>
                        </c15:formulaRef>
                      </c:ext>
                    </c:extLst>
                    <c:strCache>
                      <c:ptCount val="7"/>
                      <c:pt idx="0">
                        <c:v>ESQ ==&gt; APD</c:v>
                      </c:pt>
                      <c:pt idx="1">
                        <c:v>Fin études/AO</c:v>
                      </c:pt>
                      <c:pt idx="2">
                        <c:v>OS</c:v>
                      </c:pt>
                      <c:pt idx="3">
                        <c:v>Travaux</c:v>
                      </c:pt>
                      <c:pt idx="4">
                        <c:v>GPA</c:v>
                      </c:pt>
                      <c:pt idx="5">
                        <c:v>Clôture défisc</c:v>
                      </c:pt>
                      <c:pt idx="6">
                        <c:v>STOP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('Données '!$C$205,'Données '!$E$205,'Données '!$G$205,'Données '!$I$205,'Données '!$K$205,'Données '!$M$205,'Données '!$O$205)</c15:sqref>
                        </c15:formulaRef>
                      </c:ext>
                    </c:extLst>
                    <c:numCache>
                      <c:formatCode>General</c:formatCode>
                      <c:ptCount val="7"/>
                      <c:pt idx="0">
                        <c:v>1</c:v>
                      </c:pt>
                      <c:pt idx="1">
                        <c:v>0</c:v>
                      </c:pt>
                      <c:pt idx="2">
                        <c:v>0</c:v>
                      </c:pt>
                      <c:pt idx="3">
                        <c:v>2</c:v>
                      </c:pt>
                      <c:pt idx="4">
                        <c:v>0</c:v>
                      </c:pt>
                      <c:pt idx="5">
                        <c:v>1</c:v>
                      </c:pt>
                      <c:pt idx="6">
                        <c:v>0</c:v>
                      </c:pt>
                    </c:numCache>
                  </c:numRef>
                </c:val>
                <c:extLst xmlns:c15="http://schemas.microsoft.com/office/drawing/2012/chart">
                  <c:ext xmlns:c16="http://schemas.microsoft.com/office/drawing/2014/chart" uri="{C3380CC4-5D6E-409C-BE32-E72D297353CC}">
                    <c16:uniqueId val="{000001C6-5918-4A61-9771-4BDA5A6BC233}"/>
                  </c:ext>
                </c:extLst>
              </c15:ser>
            </c15:filteredPieSeries>
            <c15:filteredPieSeries>
              <c15:ser>
                <c:idx val="7"/>
                <c:order val="7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'Données '!$B$206</c15:sqref>
                        </c15:formulaRef>
                      </c:ext>
                    </c:extLst>
                    <c:strCache>
                      <c:ptCount val="1"/>
                      <c:pt idx="0">
                        <c:v>VAF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C8-5918-4A61-9771-4BDA5A6BC233}"/>
                    </c:ext>
                  </c:extLst>
                </c:dPt>
                <c:dPt>
                  <c:idx val="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CA-5918-4A61-9771-4BDA5A6BC233}"/>
                    </c:ext>
                  </c:extLst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CC-5918-4A61-9771-4BDA5A6BC233}"/>
                    </c:ext>
                  </c:extLst>
                </c:dPt>
                <c:dPt>
                  <c:idx val="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CE-5918-4A61-9771-4BDA5A6BC233}"/>
                    </c:ext>
                  </c:extLst>
                </c:dPt>
                <c:dPt>
                  <c:idx val="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D0-5918-4A61-9771-4BDA5A6BC233}"/>
                    </c:ext>
                  </c:extLst>
                </c:dPt>
                <c:dPt>
                  <c:idx val="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D2-5918-4A61-9771-4BDA5A6BC233}"/>
                    </c:ext>
                  </c:extLst>
                </c:dPt>
                <c:dPt>
                  <c:idx val="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D4-5918-4A61-9771-4BDA5A6BC233}"/>
                    </c:ext>
                  </c:extLst>
                </c:dPt>
                <c:dPt>
                  <c:idx val="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D6-5918-4A61-9771-4BDA5A6BC233}"/>
                    </c:ext>
                  </c:extLst>
                </c:dPt>
                <c:dPt>
                  <c:idx val="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D8-5918-4A61-9771-4BDA5A6BC233}"/>
                    </c:ext>
                  </c:extLst>
                </c:dPt>
                <c:dPt>
                  <c:idx val="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DA-5918-4A61-9771-4BDA5A6BC233}"/>
                    </c:ext>
                  </c:extLst>
                </c:dPt>
                <c:dPt>
                  <c:idx val="1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DC-5918-4A61-9771-4BDA5A6BC233}"/>
                    </c:ext>
                  </c:extLst>
                </c:dPt>
                <c:dPt>
                  <c:idx val="1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DE-5918-4A61-9771-4BDA5A6BC233}"/>
                    </c:ext>
                  </c:extLst>
                </c:dPt>
                <c:dPt>
                  <c:idx val="1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E0-5918-4A61-9771-4BDA5A6BC233}"/>
                    </c:ext>
                  </c:extLst>
                </c:dPt>
                <c:dPt>
                  <c:idx val="1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E2-5918-4A61-9771-4BDA5A6BC233}"/>
                    </c:ext>
                  </c:extLst>
                </c:dPt>
                <c:dPt>
                  <c:idx val="1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E4-5918-4A61-9771-4BDA5A6BC233}"/>
                    </c:ext>
                  </c:extLst>
                </c:dPt>
                <c:dPt>
                  <c:idx val="1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E6-5918-4A61-9771-4BDA5A6BC233}"/>
                    </c:ext>
                  </c:extLst>
                </c:dPt>
                <c:dPt>
                  <c:idx val="1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E8-5918-4A61-9771-4BDA5A6BC233}"/>
                    </c:ext>
                  </c:extLst>
                </c:dPt>
                <c:dPt>
                  <c:idx val="1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EA-5918-4A61-9771-4BDA5A6BC233}"/>
                    </c:ext>
                  </c:extLst>
                </c:dPt>
                <c:dPt>
                  <c:idx val="1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EC-5918-4A61-9771-4BDA5A6BC233}"/>
                    </c:ext>
                  </c:extLst>
                </c:dPt>
                <c:dPt>
                  <c:idx val="1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EE-5918-4A61-9771-4BDA5A6BC233}"/>
                    </c:ext>
                  </c:extLst>
                </c:dPt>
                <c:dPt>
                  <c:idx val="2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F0-5918-4A61-9771-4BDA5A6BC233}"/>
                    </c:ext>
                  </c:extLst>
                </c:dPt>
                <c:dPt>
                  <c:idx val="2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F2-5918-4A61-9771-4BDA5A6BC233}"/>
                    </c:ext>
                  </c:extLst>
                </c:dPt>
                <c:dPt>
                  <c:idx val="2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F4-5918-4A61-9771-4BDA5A6BC233}"/>
                    </c:ext>
                  </c:extLst>
                </c:dPt>
                <c:dPt>
                  <c:idx val="2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F6-5918-4A61-9771-4BDA5A6BC233}"/>
                    </c:ext>
                  </c:extLst>
                </c:dPt>
                <c:dPt>
                  <c:idx val="2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F8-5918-4A61-9771-4BDA5A6BC233}"/>
                    </c:ext>
                  </c:extLst>
                </c:dPt>
                <c:dPt>
                  <c:idx val="2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FA-5918-4A61-9771-4BDA5A6BC233}"/>
                    </c:ext>
                  </c:extLst>
                </c:dPt>
                <c:dPt>
                  <c:idx val="2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FC-5918-4A61-9771-4BDA5A6BC233}"/>
                    </c:ext>
                  </c:extLst>
                </c:dPt>
                <c:dPt>
                  <c:idx val="2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FE-5918-4A61-9771-4BDA5A6BC233}"/>
                    </c:ext>
                  </c:extLst>
                </c:dPt>
                <c:dPt>
                  <c:idx val="2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200-5918-4A61-9771-4BDA5A6BC233}"/>
                    </c:ext>
                  </c:extLst>
                </c:dPt>
                <c:dPt>
                  <c:idx val="2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202-5918-4A61-9771-4BDA5A6BC233}"/>
                    </c:ext>
                  </c:extLst>
                </c:dPt>
                <c:dPt>
                  <c:idx val="3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204-5918-4A61-9771-4BDA5A6BC233}"/>
                    </c:ext>
                  </c:extLst>
                </c:dPt>
                <c:dPt>
                  <c:idx val="3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206-5918-4A61-9771-4BDA5A6BC233}"/>
                    </c:ext>
                  </c:extLst>
                </c:dPt>
                <c:dPt>
                  <c:idx val="3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208-5918-4A61-9771-4BDA5A6BC233}"/>
                    </c:ext>
                  </c:extLst>
                </c:dPt>
                <c:dPt>
                  <c:idx val="3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20A-5918-4A61-9771-4BDA5A6BC233}"/>
                    </c:ext>
                  </c:extLst>
                </c:dPt>
                <c:dPt>
                  <c:idx val="3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20C-5918-4A61-9771-4BDA5A6BC233}"/>
                    </c:ext>
                  </c:extLst>
                </c:dPt>
                <c:dPt>
                  <c:idx val="3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20E-5918-4A61-9771-4BDA5A6BC233}"/>
                    </c:ext>
                  </c:extLst>
                </c:dPt>
                <c:dPt>
                  <c:idx val="3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210-5918-4A61-9771-4BDA5A6BC233}"/>
                    </c:ext>
                  </c:extLst>
                </c:dPt>
                <c:dPt>
                  <c:idx val="3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212-5918-4A61-9771-4BDA5A6BC233}"/>
                    </c:ext>
                  </c:extLst>
                </c:dPt>
                <c:dPt>
                  <c:idx val="3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214-5918-4A61-9771-4BDA5A6BC233}"/>
                    </c:ext>
                  </c:extLst>
                </c:dPt>
                <c:dPt>
                  <c:idx val="3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216-5918-4A61-9771-4BDA5A6BC233}"/>
                    </c:ext>
                  </c:extLst>
                </c:dPt>
                <c:dPt>
                  <c:idx val="4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218-5918-4A61-9771-4BDA5A6BC233}"/>
                    </c:ext>
                  </c:extLst>
                </c:dPt>
                <c:dPt>
                  <c:idx val="4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21A-5918-4A61-9771-4BDA5A6BC233}"/>
                    </c:ext>
                  </c:extLst>
                </c:dPt>
                <c:dPt>
                  <c:idx val="4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21C-5918-4A61-9771-4BDA5A6BC233}"/>
                    </c:ext>
                  </c:extLst>
                </c:dPt>
                <c:dPt>
                  <c:idx val="4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21E-5918-4A61-9771-4BDA5A6BC233}"/>
                    </c:ext>
                  </c:extLst>
                </c:dPt>
                <c:dPt>
                  <c:idx val="4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220-5918-4A61-9771-4BDA5A6BC233}"/>
                    </c:ext>
                  </c:extLst>
                </c:dPt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 cap="flat" cmpd="sng" algn="ctr">
                        <a:solidFill>
                          <a:schemeClr val="tx1">
                            <a:lumMod val="35000"/>
                            <a:lumOff val="65000"/>
                          </a:schemeClr>
                        </a:solidFill>
                        <a:round/>
                      </a:ln>
                      <a:effectLst/>
                    </c:spPr>
                  </c:leaderLines>
                  <c:extLst xmlns:c15="http://schemas.microsoft.com/office/drawing/2012/chart">
                    <c:ext xmlns:c15="http://schemas.microsoft.com/office/drawing/2012/chart" uri="{CE6537A1-D6FC-4f65-9D91-7224C49458BB}"/>
                  </c:extLst>
                </c:dLbls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('Données '!$C$199,'Données '!$E$199,'Données '!$G$199,'Données '!$I$199,'Données '!$K$199,'Données '!$M$199,'Données '!$O$199)</c15:sqref>
                        </c15:formulaRef>
                      </c:ext>
                    </c:extLst>
                    <c:strCache>
                      <c:ptCount val="7"/>
                      <c:pt idx="0">
                        <c:v>ESQ ==&gt; APD</c:v>
                      </c:pt>
                      <c:pt idx="1">
                        <c:v>Fin études/AO</c:v>
                      </c:pt>
                      <c:pt idx="2">
                        <c:v>OS</c:v>
                      </c:pt>
                      <c:pt idx="3">
                        <c:v>Travaux</c:v>
                      </c:pt>
                      <c:pt idx="4">
                        <c:v>GPA</c:v>
                      </c:pt>
                      <c:pt idx="5">
                        <c:v>Clôture défisc</c:v>
                      </c:pt>
                      <c:pt idx="6">
                        <c:v>STOP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('Données '!$C$206,'Données '!$E$206,'Données '!$G$206,'Données '!$I$206,'Données '!$K$206,'Données '!$M$206,'Données '!$O$206)</c15:sqref>
                        </c15:formulaRef>
                      </c:ext>
                    </c:extLst>
                    <c:numCache>
                      <c:formatCode>General</c:formatCode>
                      <c:ptCount val="7"/>
                      <c:pt idx="0">
                        <c:v>2</c:v>
                      </c:pt>
                      <c:pt idx="1">
                        <c:v>1</c:v>
                      </c:pt>
                      <c:pt idx="2">
                        <c:v>0</c:v>
                      </c:pt>
                      <c:pt idx="3">
                        <c:v>3</c:v>
                      </c:pt>
                      <c:pt idx="4">
                        <c:v>3</c:v>
                      </c:pt>
                      <c:pt idx="5">
                        <c:v>1</c:v>
                      </c:pt>
                      <c:pt idx="6">
                        <c:v>0</c:v>
                      </c:pt>
                    </c:numCache>
                  </c:numRef>
                </c:val>
                <c:extLst xmlns:c15="http://schemas.microsoft.com/office/drawing/2012/chart">
                  <c:ext xmlns:c16="http://schemas.microsoft.com/office/drawing/2014/chart" uri="{C3380CC4-5D6E-409C-BE32-E72D297353CC}">
                    <c16:uniqueId val="{00000221-5918-4A61-9771-4BDA5A6BC233}"/>
                  </c:ext>
                </c:extLst>
              </c15:ser>
            </c15:filteredPieSeries>
          </c:ext>
        </c:extLst>
      </c:pieChart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66870628263447418"/>
          <c:y val="0.23119044358587379"/>
          <c:w val="0.33129363515343879"/>
          <c:h val="0.58084352459433986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0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7"/>
          <c:order val="7"/>
          <c:tx>
            <c:strRef>
              <c:f>'Données '!$B$206</c:f>
              <c:strCache>
                <c:ptCount val="1"/>
                <c:pt idx="0">
                  <c:v>VAF</c:v>
                </c:pt>
              </c:strCache>
              <c:extLst xmlns:c15="http://schemas.microsoft.com/office/drawing/2012/chart"/>
            </c:strRef>
          </c:tx>
          <c:dPt>
            <c:idx val="0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22-3CCB-476F-95B8-640E14A88A15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24-3CCB-476F-95B8-640E14A88A15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26-3CCB-476F-95B8-640E14A88A15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28-3CCB-476F-95B8-640E14A88A15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2A-3CCB-476F-95B8-640E14A88A15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2C-3CCB-476F-95B8-640E14A88A15}"/>
              </c:ext>
            </c:extLst>
          </c:dPt>
          <c:dPt>
            <c:idx val="6"/>
            <c:bubble3D val="0"/>
            <c:spPr>
              <a:solidFill>
                <a:schemeClr val="tx1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2E-3CCB-476F-95B8-640E14A88A15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30-3CCB-476F-95B8-640E14A88A15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32-3CCB-476F-95B8-640E14A88A15}"/>
              </c:ext>
            </c:extLst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34-3CCB-476F-95B8-640E14A88A15}"/>
              </c:ext>
            </c:extLst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36-3CCB-476F-95B8-640E14A88A15}"/>
              </c:ext>
            </c:extLst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38-3CCB-476F-95B8-640E14A88A15}"/>
              </c:ext>
            </c:extLst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3A-3CCB-476F-95B8-640E14A88A15}"/>
              </c:ext>
            </c:extLst>
          </c:dPt>
          <c:dPt>
            <c:idx val="1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3C-3CCB-476F-95B8-640E14A88A15}"/>
              </c:ext>
            </c:extLst>
          </c:dPt>
          <c:dPt>
            <c:idx val="1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3E-3CCB-476F-95B8-640E14A88A15}"/>
              </c:ext>
            </c:extLst>
          </c:dPt>
          <c:dPt>
            <c:idx val="1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40-3CCB-476F-95B8-640E14A88A15}"/>
              </c:ext>
            </c:extLst>
          </c:dPt>
          <c:dPt>
            <c:idx val="1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42-3CCB-476F-95B8-640E14A88A15}"/>
              </c:ext>
            </c:extLst>
          </c:dPt>
          <c:dPt>
            <c:idx val="1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44-3CCB-476F-95B8-640E14A88A15}"/>
              </c:ext>
            </c:extLst>
          </c:dPt>
          <c:dPt>
            <c:idx val="18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46-3CCB-476F-95B8-640E14A88A15}"/>
              </c:ext>
            </c:extLst>
          </c:dPt>
          <c:dPt>
            <c:idx val="19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48-3CCB-476F-95B8-640E14A88A15}"/>
              </c:ext>
            </c:extLst>
          </c:dPt>
          <c:dPt>
            <c:idx val="20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4A-3CCB-476F-95B8-640E14A88A15}"/>
              </c:ext>
            </c:extLst>
          </c:dPt>
          <c:dPt>
            <c:idx val="21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4C-3CCB-476F-95B8-640E14A88A15}"/>
              </c:ext>
            </c:extLst>
          </c:dPt>
          <c:dPt>
            <c:idx val="22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4E-3CCB-476F-95B8-640E14A88A15}"/>
              </c:ext>
            </c:extLst>
          </c:dPt>
          <c:dPt>
            <c:idx val="23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50-3CCB-476F-95B8-640E14A88A15}"/>
              </c:ext>
            </c:extLst>
          </c:dPt>
          <c:dPt>
            <c:idx val="2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52-3CCB-476F-95B8-640E14A88A15}"/>
              </c:ext>
            </c:extLst>
          </c:dPt>
          <c:dPt>
            <c:idx val="2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54-3CCB-476F-95B8-640E14A88A15}"/>
              </c:ext>
            </c:extLst>
          </c:dPt>
          <c:dPt>
            <c:idx val="2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56-3CCB-476F-95B8-640E14A88A15}"/>
              </c:ext>
            </c:extLst>
          </c:dPt>
          <c:dPt>
            <c:idx val="2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58-3CCB-476F-95B8-640E14A88A15}"/>
              </c:ext>
            </c:extLst>
          </c:dPt>
          <c:dPt>
            <c:idx val="28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5A-3CCB-476F-95B8-640E14A88A15}"/>
              </c:ext>
            </c:extLst>
          </c:dPt>
          <c:dPt>
            <c:idx val="29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5C-3CCB-476F-95B8-640E14A88A15}"/>
              </c:ext>
            </c:extLst>
          </c:dPt>
          <c:dPt>
            <c:idx val="30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5E-3CCB-476F-95B8-640E14A88A15}"/>
              </c:ext>
            </c:extLst>
          </c:dPt>
          <c:dPt>
            <c:idx val="31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60-3CCB-476F-95B8-640E14A88A15}"/>
              </c:ext>
            </c:extLst>
          </c:dPt>
          <c:dPt>
            <c:idx val="32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62-3CCB-476F-95B8-640E14A88A15}"/>
              </c:ext>
            </c:extLst>
          </c:dPt>
          <c:dPt>
            <c:idx val="33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64-3CCB-476F-95B8-640E14A88A15}"/>
              </c:ext>
            </c:extLst>
          </c:dPt>
          <c:dPt>
            <c:idx val="34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66-3CCB-476F-95B8-640E14A88A15}"/>
              </c:ext>
            </c:extLst>
          </c:dPt>
          <c:dPt>
            <c:idx val="35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68-3CCB-476F-95B8-640E14A88A15}"/>
              </c:ext>
            </c:extLst>
          </c:dPt>
          <c:dPt>
            <c:idx val="36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6A-3CCB-476F-95B8-640E14A88A15}"/>
              </c:ext>
            </c:extLst>
          </c:dPt>
          <c:dPt>
            <c:idx val="37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6C-3CCB-476F-95B8-640E14A88A15}"/>
              </c:ext>
            </c:extLst>
          </c:dPt>
          <c:dPt>
            <c:idx val="38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6E-3CCB-476F-95B8-640E14A88A15}"/>
              </c:ext>
            </c:extLst>
          </c:dPt>
          <c:dPt>
            <c:idx val="39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70-3CCB-476F-95B8-640E14A88A15}"/>
              </c:ext>
            </c:extLst>
          </c:dPt>
          <c:dPt>
            <c:idx val="40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72-3CCB-476F-95B8-640E14A88A15}"/>
              </c:ext>
            </c:extLst>
          </c:dPt>
          <c:dPt>
            <c:idx val="41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74-3CCB-476F-95B8-640E14A88A15}"/>
              </c:ext>
            </c:extLst>
          </c:dPt>
          <c:dPt>
            <c:idx val="42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76-3CCB-476F-95B8-640E14A88A15}"/>
              </c:ext>
            </c:extLst>
          </c:dPt>
          <c:dPt>
            <c:idx val="43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78-3CCB-476F-95B8-640E14A88A15}"/>
              </c:ext>
            </c:extLst>
          </c:dPt>
          <c:dPt>
            <c:idx val="44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7A-3CCB-476F-95B8-640E14A88A15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 xmlns:c15="http://schemas.microsoft.com/office/drawing/2012/chart">
              <c:ext xmlns:c15="http://schemas.microsoft.com/office/drawing/2012/chart" uri="{CE6537A1-D6FC-4f65-9D91-7224C49458BB}"/>
            </c:extLst>
          </c:dLbls>
          <c:cat>
            <c:strRef>
              <c:f>('Données '!$C$199,'Données '!$E$199,'Données '!$G$199,'Données '!$I$199,'Données '!$K$199,'Données '!$M$199,'Données '!$O$199)</c:f>
              <c:strCache>
                <c:ptCount val="7"/>
                <c:pt idx="0">
                  <c:v>ESQ ==&gt; APD</c:v>
                </c:pt>
                <c:pt idx="1">
                  <c:v>Fin études/AO</c:v>
                </c:pt>
                <c:pt idx="2">
                  <c:v>OS</c:v>
                </c:pt>
                <c:pt idx="3">
                  <c:v>Travaux</c:v>
                </c:pt>
                <c:pt idx="4">
                  <c:v>GPA</c:v>
                </c:pt>
                <c:pt idx="5">
                  <c:v>Clôture défisc</c:v>
                </c:pt>
                <c:pt idx="6">
                  <c:v>STOP</c:v>
                </c:pt>
              </c:strCache>
            </c:strRef>
          </c:cat>
          <c:val>
            <c:numRef>
              <c:f>('Données '!$C$206,'Données '!$E$206,'Données '!$G$206,'Données '!$I$206,'Données '!$K$206,'Données '!$M$206,'Données '!$O$206)</c:f>
              <c:numCache>
                <c:formatCode>General</c:formatCode>
                <c:ptCount val="7"/>
                <c:pt idx="0">
                  <c:v>2</c:v>
                </c:pt>
                <c:pt idx="1">
                  <c:v>1</c:v>
                </c:pt>
                <c:pt idx="2">
                  <c:v>0</c:v>
                </c:pt>
                <c:pt idx="3">
                  <c:v>3</c:v>
                </c:pt>
                <c:pt idx="4">
                  <c:v>3</c:v>
                </c:pt>
                <c:pt idx="5">
                  <c:v>1</c:v>
                </c:pt>
                <c:pt idx="6">
                  <c:v>0</c:v>
                </c:pt>
              </c:numCache>
              <c:extLst xmlns:c15="http://schemas.microsoft.com/office/drawing/2012/chart"/>
            </c:numRef>
          </c:val>
          <c:extLst xmlns:c15="http://schemas.microsoft.com/office/drawing/2012/chart">
            <c:ext xmlns:c16="http://schemas.microsoft.com/office/drawing/2014/chart" uri="{C3380CC4-5D6E-409C-BE32-E72D297353CC}">
              <c16:uniqueId val="{00000F7B-3CCB-476F-95B8-640E14A88A15}"/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  <c:extLst>
          <c:ext xmlns:c15="http://schemas.microsoft.com/office/drawing/2012/chart" uri="{02D57815-91ED-43cb-92C2-25804820EDAC}">
            <c15:filteredPieSeries>
              <c15:ser>
                <c:idx val="0"/>
                <c:order val="0"/>
                <c:tx>
                  <c:strRef>
                    <c:extLst>
                      <c:ext uri="{02D57815-91ED-43cb-92C2-25804820EDAC}">
                        <c15:formulaRef>
                          <c15:sqref>'Données '!$B$200</c15:sqref>
                        </c15:formulaRef>
                      </c:ext>
                    </c:extLst>
                    <c:strCache>
                      <c:ptCount val="1"/>
                      <c:pt idx="0">
                        <c:v>DBE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AE-3CCB-476F-95B8-640E14A88A15}"/>
                    </c:ext>
                  </c:extLst>
                </c:dPt>
                <c:dPt>
                  <c:idx val="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B0-3CCB-476F-95B8-640E14A88A15}"/>
                    </c:ext>
                  </c:extLst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B2-3CCB-476F-95B8-640E14A88A15}"/>
                    </c:ext>
                  </c:extLst>
                </c:dPt>
                <c:dPt>
                  <c:idx val="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B4-3CCB-476F-95B8-640E14A88A15}"/>
                    </c:ext>
                  </c:extLst>
                </c:dPt>
                <c:dPt>
                  <c:idx val="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B6-3CCB-476F-95B8-640E14A88A15}"/>
                    </c:ext>
                  </c:extLst>
                </c:dPt>
                <c:dPt>
                  <c:idx val="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B8-3CCB-476F-95B8-640E14A88A15}"/>
                    </c:ext>
                  </c:extLst>
                </c:dPt>
                <c:dPt>
                  <c:idx val="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BA-3CCB-476F-95B8-640E14A88A15}"/>
                    </c:ext>
                  </c:extLst>
                </c:dPt>
                <c:dPt>
                  <c:idx val="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BC-3CCB-476F-95B8-640E14A88A15}"/>
                    </c:ext>
                  </c:extLst>
                </c:dPt>
                <c:dPt>
                  <c:idx val="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BE-3CCB-476F-95B8-640E14A88A15}"/>
                    </c:ext>
                  </c:extLst>
                </c:dPt>
                <c:dPt>
                  <c:idx val="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C0-3CCB-476F-95B8-640E14A88A15}"/>
                    </c:ext>
                  </c:extLst>
                </c:dPt>
                <c:dPt>
                  <c:idx val="1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C2-3CCB-476F-95B8-640E14A88A15}"/>
                    </c:ext>
                  </c:extLst>
                </c:dPt>
                <c:dPt>
                  <c:idx val="1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C4-3CCB-476F-95B8-640E14A88A15}"/>
                    </c:ext>
                  </c:extLst>
                </c:dPt>
                <c:dPt>
                  <c:idx val="1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C6-3CCB-476F-95B8-640E14A88A15}"/>
                    </c:ext>
                  </c:extLst>
                </c:dPt>
                <c:dPt>
                  <c:idx val="1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C8-3CCB-476F-95B8-640E14A88A15}"/>
                    </c:ext>
                  </c:extLst>
                </c:dPt>
                <c:dPt>
                  <c:idx val="1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CA-3CCB-476F-95B8-640E14A88A15}"/>
                    </c:ext>
                  </c:extLst>
                </c:dPt>
                <c:dPt>
                  <c:idx val="1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CC-3CCB-476F-95B8-640E14A88A15}"/>
                    </c:ext>
                  </c:extLst>
                </c:dPt>
                <c:dPt>
                  <c:idx val="1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CE-3CCB-476F-95B8-640E14A88A15}"/>
                    </c:ext>
                  </c:extLst>
                </c:dPt>
                <c:dPt>
                  <c:idx val="1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D0-3CCB-476F-95B8-640E14A88A15}"/>
                    </c:ext>
                  </c:extLst>
                </c:dPt>
                <c:dPt>
                  <c:idx val="1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D2-3CCB-476F-95B8-640E14A88A15}"/>
                    </c:ext>
                  </c:extLst>
                </c:dPt>
                <c:dPt>
                  <c:idx val="1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D4-3CCB-476F-95B8-640E14A88A15}"/>
                    </c:ext>
                  </c:extLst>
                </c:dPt>
                <c:dPt>
                  <c:idx val="2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D6-3CCB-476F-95B8-640E14A88A15}"/>
                    </c:ext>
                  </c:extLst>
                </c:dPt>
                <c:dPt>
                  <c:idx val="2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D8-3CCB-476F-95B8-640E14A88A15}"/>
                    </c:ext>
                  </c:extLst>
                </c:dPt>
                <c:dPt>
                  <c:idx val="2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DA-3CCB-476F-95B8-640E14A88A15}"/>
                    </c:ext>
                  </c:extLst>
                </c:dPt>
                <c:dPt>
                  <c:idx val="2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DC-3CCB-476F-95B8-640E14A88A15}"/>
                    </c:ext>
                  </c:extLst>
                </c:dPt>
                <c:dPt>
                  <c:idx val="2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DE-3CCB-476F-95B8-640E14A88A15}"/>
                    </c:ext>
                  </c:extLst>
                </c:dPt>
                <c:dPt>
                  <c:idx val="2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E0-3CCB-476F-95B8-640E14A88A15}"/>
                    </c:ext>
                  </c:extLst>
                </c:dPt>
                <c:dPt>
                  <c:idx val="2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E2-3CCB-476F-95B8-640E14A88A15}"/>
                    </c:ext>
                  </c:extLst>
                </c:dPt>
                <c:dPt>
                  <c:idx val="2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E4-3CCB-476F-95B8-640E14A88A15}"/>
                    </c:ext>
                  </c:extLst>
                </c:dPt>
                <c:dPt>
                  <c:idx val="2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E6-3CCB-476F-95B8-640E14A88A15}"/>
                    </c:ext>
                  </c:extLst>
                </c:dPt>
                <c:dPt>
                  <c:idx val="2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E8-3CCB-476F-95B8-640E14A88A15}"/>
                    </c:ext>
                  </c:extLst>
                </c:dPt>
                <c:dPt>
                  <c:idx val="3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EA-3CCB-476F-95B8-640E14A88A15}"/>
                    </c:ext>
                  </c:extLst>
                </c:dPt>
                <c:dPt>
                  <c:idx val="3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EC-3CCB-476F-95B8-640E14A88A15}"/>
                    </c:ext>
                  </c:extLst>
                </c:dPt>
                <c:dPt>
                  <c:idx val="3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EE-3CCB-476F-95B8-640E14A88A15}"/>
                    </c:ext>
                  </c:extLst>
                </c:dPt>
                <c:dPt>
                  <c:idx val="3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F0-3CCB-476F-95B8-640E14A88A15}"/>
                    </c:ext>
                  </c:extLst>
                </c:dPt>
                <c:dPt>
                  <c:idx val="3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F2-3CCB-476F-95B8-640E14A88A15}"/>
                    </c:ext>
                  </c:extLst>
                </c:dPt>
                <c:dPt>
                  <c:idx val="3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F4-3CCB-476F-95B8-640E14A88A15}"/>
                    </c:ext>
                  </c:extLst>
                </c:dPt>
                <c:dPt>
                  <c:idx val="3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F6-3CCB-476F-95B8-640E14A88A15}"/>
                    </c:ext>
                  </c:extLst>
                </c:dPt>
                <c:dPt>
                  <c:idx val="3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F8-3CCB-476F-95B8-640E14A88A15}"/>
                    </c:ext>
                  </c:extLst>
                </c:dPt>
                <c:dPt>
                  <c:idx val="3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FA-3CCB-476F-95B8-640E14A88A15}"/>
                    </c:ext>
                  </c:extLst>
                </c:dPt>
                <c:dPt>
                  <c:idx val="3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FC-3CCB-476F-95B8-640E14A88A15}"/>
                    </c:ext>
                  </c:extLst>
                </c:dPt>
                <c:dPt>
                  <c:idx val="4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FE-3CCB-476F-95B8-640E14A88A15}"/>
                    </c:ext>
                  </c:extLst>
                </c:dPt>
                <c:dPt>
                  <c:idx val="4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00-3CCB-476F-95B8-640E14A88A15}"/>
                    </c:ext>
                  </c:extLst>
                </c:dPt>
                <c:dPt>
                  <c:idx val="4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02-3CCB-476F-95B8-640E14A88A15}"/>
                    </c:ext>
                  </c:extLst>
                </c:dPt>
                <c:dPt>
                  <c:idx val="4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04-3CCB-476F-95B8-640E14A88A15}"/>
                    </c:ext>
                  </c:extLst>
                </c:dPt>
                <c:dPt>
                  <c:idx val="4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06-3CCB-476F-95B8-640E14A88A15}"/>
                    </c:ext>
                  </c:extLst>
                </c:dPt>
                <c:dPt>
                  <c:idx val="4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08-3CCB-476F-95B8-640E14A88A15}"/>
                    </c:ext>
                  </c:extLst>
                </c:dPt>
                <c:dPt>
                  <c:idx val="4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0A-3CCB-476F-95B8-640E14A88A15}"/>
                    </c:ext>
                  </c:extLst>
                </c:dPt>
                <c:dPt>
                  <c:idx val="4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0C-3CCB-476F-95B8-640E14A88A15}"/>
                    </c:ext>
                  </c:extLst>
                </c:dPt>
                <c:dPt>
                  <c:idx val="4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0E-3CCB-476F-95B8-640E14A88A15}"/>
                    </c:ext>
                  </c:extLst>
                </c:dPt>
                <c:dPt>
                  <c:idx val="4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10-3CCB-476F-95B8-640E14A88A15}"/>
                    </c:ext>
                  </c:extLst>
                </c:dPt>
                <c:dPt>
                  <c:idx val="5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12-3CCB-476F-95B8-640E14A88A15}"/>
                    </c:ext>
                  </c:extLst>
                </c:dPt>
                <c:dPt>
                  <c:idx val="5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14-3CCB-476F-95B8-640E14A88A15}"/>
                    </c:ext>
                  </c:extLst>
                </c:dPt>
                <c:dPt>
                  <c:idx val="5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16-3CCB-476F-95B8-640E14A88A15}"/>
                    </c:ext>
                  </c:extLst>
                </c:dPt>
                <c:dPt>
                  <c:idx val="5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18-3CCB-476F-95B8-640E14A88A15}"/>
                    </c:ext>
                  </c:extLst>
                </c:dPt>
                <c:dPt>
                  <c:idx val="5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1A-3CCB-476F-95B8-640E14A88A15}"/>
                    </c:ext>
                  </c:extLst>
                </c:dPt>
                <c:dPt>
                  <c:idx val="5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1C-3CCB-476F-95B8-640E14A88A15}"/>
                    </c:ext>
                  </c:extLst>
                </c:dPt>
                <c:dPt>
                  <c:idx val="5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1E-3CCB-476F-95B8-640E14A88A15}"/>
                    </c:ext>
                  </c:extLst>
                </c:dPt>
                <c:dPt>
                  <c:idx val="5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20-3CCB-476F-95B8-640E14A88A15}"/>
                    </c:ext>
                  </c:extLst>
                </c:dPt>
                <c:dPt>
                  <c:idx val="5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22-3CCB-476F-95B8-640E14A88A15}"/>
                    </c:ext>
                  </c:extLst>
                </c:dPt>
                <c:dPt>
                  <c:idx val="5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24-3CCB-476F-95B8-640E14A88A15}"/>
                    </c:ext>
                  </c:extLst>
                </c:dPt>
                <c:dPt>
                  <c:idx val="6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26-3CCB-476F-95B8-640E14A88A15}"/>
                    </c:ext>
                  </c:extLst>
                </c:dPt>
                <c:dPt>
                  <c:idx val="6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28-3CCB-476F-95B8-640E14A88A15}"/>
                    </c:ext>
                  </c:extLst>
                </c:dPt>
                <c:dPt>
                  <c:idx val="6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2A-3CCB-476F-95B8-640E14A88A15}"/>
                    </c:ext>
                  </c:extLst>
                </c:dPt>
                <c:dPt>
                  <c:idx val="6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2C-3CCB-476F-95B8-640E14A88A15}"/>
                    </c:ext>
                  </c:extLst>
                </c:dPt>
                <c:dPt>
                  <c:idx val="6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2E-3CCB-476F-95B8-640E14A88A15}"/>
                    </c:ext>
                  </c:extLst>
                </c:dPt>
                <c:dPt>
                  <c:idx val="6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30-3CCB-476F-95B8-640E14A88A15}"/>
                    </c:ext>
                  </c:extLst>
                </c:dPt>
                <c:dPt>
                  <c:idx val="6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32-3CCB-476F-95B8-640E14A88A15}"/>
                    </c:ext>
                  </c:extLst>
                </c:dPt>
                <c:dPt>
                  <c:idx val="6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34-3CCB-476F-95B8-640E14A88A15}"/>
                    </c:ext>
                  </c:extLst>
                </c:dPt>
                <c:dPt>
                  <c:idx val="6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36-3CCB-476F-95B8-640E14A88A15}"/>
                    </c:ext>
                  </c:extLst>
                </c:dPt>
                <c:dPt>
                  <c:idx val="6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38-3CCB-476F-95B8-640E14A88A15}"/>
                    </c:ext>
                  </c:extLst>
                </c:dPt>
                <c:dPt>
                  <c:idx val="7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3A-3CCB-476F-95B8-640E14A88A15}"/>
                    </c:ext>
                  </c:extLst>
                </c:dPt>
                <c:dPt>
                  <c:idx val="7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3C-3CCB-476F-95B8-640E14A88A15}"/>
                    </c:ext>
                  </c:extLst>
                </c:dPt>
                <c:dPt>
                  <c:idx val="7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3E-3CCB-476F-95B8-640E14A88A15}"/>
                    </c:ext>
                  </c:extLst>
                </c:dPt>
                <c:dPt>
                  <c:idx val="7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40-3CCB-476F-95B8-640E14A88A15}"/>
                    </c:ext>
                  </c:extLst>
                </c:dPt>
                <c:dPt>
                  <c:idx val="7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42-3CCB-476F-95B8-640E14A88A15}"/>
                    </c:ext>
                  </c:extLst>
                </c:dPt>
                <c:dPt>
                  <c:idx val="7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44-3CCB-476F-95B8-640E14A88A15}"/>
                    </c:ext>
                  </c:extLst>
                </c:dPt>
                <c:dPt>
                  <c:idx val="7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46-3CCB-476F-95B8-640E14A88A15}"/>
                    </c:ext>
                  </c:extLst>
                </c:dPt>
                <c:dPt>
                  <c:idx val="7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48-3CCB-476F-95B8-640E14A88A15}"/>
                    </c:ext>
                  </c:extLst>
                </c:dPt>
                <c:dPt>
                  <c:idx val="7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4A-3CCB-476F-95B8-640E14A88A15}"/>
                    </c:ext>
                  </c:extLst>
                </c:dPt>
                <c:dPt>
                  <c:idx val="7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4C-3CCB-476F-95B8-640E14A88A15}"/>
                    </c:ext>
                  </c:extLst>
                </c:dPt>
                <c:dPt>
                  <c:idx val="8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4E-3CCB-476F-95B8-640E14A88A15}"/>
                    </c:ext>
                  </c:extLst>
                </c:dPt>
                <c:dPt>
                  <c:idx val="8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50-3CCB-476F-95B8-640E14A88A15}"/>
                    </c:ext>
                  </c:extLst>
                </c:dPt>
                <c:dPt>
                  <c:idx val="8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52-3CCB-476F-95B8-640E14A88A15}"/>
                    </c:ext>
                  </c:extLst>
                </c:dPt>
                <c:dPt>
                  <c:idx val="8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54-3CCB-476F-95B8-640E14A88A15}"/>
                    </c:ext>
                  </c:extLst>
                </c:dPt>
                <c:dPt>
                  <c:idx val="8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56-3CCB-476F-95B8-640E14A88A15}"/>
                    </c:ext>
                  </c:extLst>
                </c:dPt>
                <c:dPt>
                  <c:idx val="8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58-3CCB-476F-95B8-640E14A88A15}"/>
                    </c:ext>
                  </c:extLst>
                </c:dPt>
                <c:dPt>
                  <c:idx val="8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5A-3CCB-476F-95B8-640E14A88A15}"/>
                    </c:ext>
                  </c:extLst>
                </c:dPt>
                <c:dPt>
                  <c:idx val="8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5C-3CCB-476F-95B8-640E14A88A15}"/>
                    </c:ext>
                  </c:extLst>
                </c:dPt>
                <c:dPt>
                  <c:idx val="8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5E-3CCB-476F-95B8-640E14A88A15}"/>
                    </c:ext>
                  </c:extLst>
                </c:dPt>
                <c:dPt>
                  <c:idx val="8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60-3CCB-476F-95B8-640E14A88A15}"/>
                    </c:ext>
                  </c:extLst>
                </c:dPt>
                <c:dPt>
                  <c:idx val="9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62-3CCB-476F-95B8-640E14A88A15}"/>
                    </c:ext>
                  </c:extLst>
                </c:dPt>
                <c:dPt>
                  <c:idx val="9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64-3CCB-476F-95B8-640E14A88A15}"/>
                    </c:ext>
                  </c:extLst>
                </c:dPt>
                <c:dPt>
                  <c:idx val="9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66-3CCB-476F-95B8-640E14A88A15}"/>
                    </c:ext>
                  </c:extLst>
                </c:dPt>
                <c:dPt>
                  <c:idx val="9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68-3CCB-476F-95B8-640E14A88A15}"/>
                    </c:ext>
                  </c:extLst>
                </c:dPt>
                <c:dPt>
                  <c:idx val="9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6A-3CCB-476F-95B8-640E14A88A15}"/>
                    </c:ext>
                  </c:extLst>
                </c:dPt>
                <c:dPt>
                  <c:idx val="9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6C-3CCB-476F-95B8-640E14A88A15}"/>
                    </c:ext>
                  </c:extLst>
                </c:dPt>
                <c:dPt>
                  <c:idx val="9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6E-3CCB-476F-95B8-640E14A88A15}"/>
                    </c:ext>
                  </c:extLst>
                </c:dPt>
                <c:dPt>
                  <c:idx val="9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70-3CCB-476F-95B8-640E14A88A15}"/>
                    </c:ext>
                  </c:extLst>
                </c:dPt>
                <c:dPt>
                  <c:idx val="9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72-3CCB-476F-95B8-640E14A88A15}"/>
                    </c:ext>
                  </c:extLst>
                </c:dPt>
                <c:dPt>
                  <c:idx val="9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74-3CCB-476F-95B8-640E14A88A15}"/>
                    </c:ext>
                  </c:extLst>
                </c:dPt>
                <c:dPt>
                  <c:idx val="10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76-3CCB-476F-95B8-640E14A88A15}"/>
                    </c:ext>
                  </c:extLst>
                </c:dPt>
                <c:dPt>
                  <c:idx val="10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78-3CCB-476F-95B8-640E14A88A15}"/>
                    </c:ext>
                  </c:extLst>
                </c:dPt>
                <c:dPt>
                  <c:idx val="10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7A-3CCB-476F-95B8-640E14A88A15}"/>
                    </c:ext>
                  </c:extLst>
                </c:dPt>
                <c:dPt>
                  <c:idx val="10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7C-3CCB-476F-95B8-640E14A88A15}"/>
                    </c:ext>
                  </c:extLst>
                </c:dPt>
                <c:dPt>
                  <c:idx val="10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7E-3CCB-476F-95B8-640E14A88A15}"/>
                    </c:ext>
                  </c:extLst>
                </c:dPt>
                <c:dPt>
                  <c:idx val="10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80-3CCB-476F-95B8-640E14A88A15}"/>
                    </c:ext>
                  </c:extLst>
                </c:dPt>
                <c:dPt>
                  <c:idx val="10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82-3CCB-476F-95B8-640E14A88A15}"/>
                    </c:ext>
                  </c:extLst>
                </c:dPt>
                <c:dPt>
                  <c:idx val="10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84-3CCB-476F-95B8-640E14A88A15}"/>
                    </c:ext>
                  </c:extLst>
                </c:dPt>
                <c:dPt>
                  <c:idx val="10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86-3CCB-476F-95B8-640E14A88A15}"/>
                    </c:ext>
                  </c:extLst>
                </c:dPt>
                <c:dPt>
                  <c:idx val="10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88-3CCB-476F-95B8-640E14A88A15}"/>
                    </c:ext>
                  </c:extLst>
                </c:dPt>
                <c:dPt>
                  <c:idx val="11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8A-3CCB-476F-95B8-640E14A88A15}"/>
                    </c:ext>
                  </c:extLst>
                </c:dPt>
                <c:dPt>
                  <c:idx val="11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8C-3CCB-476F-95B8-640E14A88A15}"/>
                    </c:ext>
                  </c:extLst>
                </c:dPt>
                <c:dPt>
                  <c:idx val="11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8E-3CCB-476F-95B8-640E14A88A15}"/>
                    </c:ext>
                  </c:extLst>
                </c:dPt>
                <c:dPt>
                  <c:idx val="11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90-3CCB-476F-95B8-640E14A88A15}"/>
                    </c:ext>
                  </c:extLst>
                </c:dPt>
                <c:dPt>
                  <c:idx val="11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92-3CCB-476F-95B8-640E14A88A15}"/>
                    </c:ext>
                  </c:extLst>
                </c:dPt>
                <c:dPt>
                  <c:idx val="11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94-3CCB-476F-95B8-640E14A88A15}"/>
                    </c:ext>
                  </c:extLst>
                </c:dPt>
                <c:dPt>
                  <c:idx val="11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96-3CCB-476F-95B8-640E14A88A15}"/>
                    </c:ext>
                  </c:extLst>
                </c:dPt>
                <c:dPt>
                  <c:idx val="11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98-3CCB-476F-95B8-640E14A88A15}"/>
                    </c:ext>
                  </c:extLst>
                </c:dPt>
                <c:dPt>
                  <c:idx val="11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9A-3CCB-476F-95B8-640E14A88A15}"/>
                    </c:ext>
                  </c:extLst>
                </c:dPt>
                <c:dPt>
                  <c:idx val="11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9C-3CCB-476F-95B8-640E14A88A15}"/>
                    </c:ext>
                  </c:extLst>
                </c:dPt>
                <c:dPt>
                  <c:idx val="12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9E-3CCB-476F-95B8-640E14A88A15}"/>
                    </c:ext>
                  </c:extLst>
                </c:dPt>
                <c:dPt>
                  <c:idx val="12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A0-3CCB-476F-95B8-640E14A88A15}"/>
                    </c:ext>
                  </c:extLst>
                </c:dPt>
                <c:dPt>
                  <c:idx val="12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A2-3CCB-476F-95B8-640E14A88A15}"/>
                    </c:ext>
                  </c:extLst>
                </c:dPt>
                <c:dPt>
                  <c:idx val="12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A4-3CCB-476F-95B8-640E14A88A15}"/>
                    </c:ext>
                  </c:extLst>
                </c:dPt>
                <c:dPt>
                  <c:idx val="12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A6-3CCB-476F-95B8-640E14A88A15}"/>
                    </c:ext>
                  </c:extLst>
                </c:dPt>
                <c:dPt>
                  <c:idx val="12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A8-3CCB-476F-95B8-640E14A88A15}"/>
                    </c:ext>
                  </c:extLst>
                </c:dPt>
                <c:dPt>
                  <c:idx val="12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AA-3CCB-476F-95B8-640E14A88A15}"/>
                    </c:ext>
                  </c:extLst>
                </c:dPt>
                <c:dPt>
                  <c:idx val="12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AC-3CCB-476F-95B8-640E14A88A15}"/>
                    </c:ext>
                  </c:extLst>
                </c:dPt>
                <c:dPt>
                  <c:idx val="12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AE-3CCB-476F-95B8-640E14A88A15}"/>
                    </c:ext>
                  </c:extLst>
                </c:dPt>
                <c:dPt>
                  <c:idx val="12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B0-3CCB-476F-95B8-640E14A88A15}"/>
                    </c:ext>
                  </c:extLst>
                </c:dPt>
                <c:dPt>
                  <c:idx val="13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B2-3CCB-476F-95B8-640E14A88A15}"/>
                    </c:ext>
                  </c:extLst>
                </c:dPt>
                <c:dPt>
                  <c:idx val="13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B4-3CCB-476F-95B8-640E14A88A15}"/>
                    </c:ext>
                  </c:extLst>
                </c:dPt>
                <c:dPt>
                  <c:idx val="13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B6-3CCB-476F-95B8-640E14A88A15}"/>
                    </c:ext>
                  </c:extLst>
                </c:dPt>
                <c:dPt>
                  <c:idx val="13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B8-3CCB-476F-95B8-640E14A88A15}"/>
                    </c:ext>
                  </c:extLst>
                </c:dPt>
                <c:dPt>
                  <c:idx val="13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BA-3CCB-476F-95B8-640E14A88A15}"/>
                    </c:ext>
                  </c:extLst>
                </c:dPt>
                <c:dPt>
                  <c:idx val="13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BC-3CCB-476F-95B8-640E14A88A15}"/>
                    </c:ext>
                  </c:extLst>
                </c:dPt>
                <c:dPt>
                  <c:idx val="13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BE-3CCB-476F-95B8-640E14A88A15}"/>
                    </c:ext>
                  </c:extLst>
                </c:dPt>
                <c:dPt>
                  <c:idx val="13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C0-3CCB-476F-95B8-640E14A88A15}"/>
                    </c:ext>
                  </c:extLst>
                </c:dPt>
                <c:dPt>
                  <c:idx val="13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C2-3CCB-476F-95B8-640E14A88A15}"/>
                    </c:ext>
                  </c:extLst>
                </c:dPt>
                <c:dPt>
                  <c:idx val="13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C4-3CCB-476F-95B8-640E14A88A15}"/>
                    </c:ext>
                  </c:extLst>
                </c:dPt>
                <c:dPt>
                  <c:idx val="14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C6-3CCB-476F-95B8-640E14A88A15}"/>
                    </c:ext>
                  </c:extLst>
                </c:dPt>
                <c:dPt>
                  <c:idx val="14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C8-3CCB-476F-95B8-640E14A88A15}"/>
                    </c:ext>
                  </c:extLst>
                </c:dPt>
                <c:dPt>
                  <c:idx val="14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CA-3CCB-476F-95B8-640E14A88A15}"/>
                    </c:ext>
                  </c:extLst>
                </c:dPt>
                <c:dPt>
                  <c:idx val="14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CC-3CCB-476F-95B8-640E14A88A15}"/>
                    </c:ext>
                  </c:extLst>
                </c:dPt>
                <c:dPt>
                  <c:idx val="14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CE-3CCB-476F-95B8-640E14A88A15}"/>
                    </c:ext>
                  </c:extLst>
                </c:dPt>
                <c:dPt>
                  <c:idx val="14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D0-3CCB-476F-95B8-640E14A88A15}"/>
                    </c:ext>
                  </c:extLst>
                </c:dPt>
                <c:dPt>
                  <c:idx val="14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D2-3CCB-476F-95B8-640E14A88A15}"/>
                    </c:ext>
                  </c:extLst>
                </c:dPt>
                <c:dPt>
                  <c:idx val="14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D4-3CCB-476F-95B8-640E14A88A15}"/>
                    </c:ext>
                  </c:extLst>
                </c:dPt>
                <c:dPt>
                  <c:idx val="14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D6-3CCB-476F-95B8-640E14A88A15}"/>
                    </c:ext>
                  </c:extLst>
                </c:dPt>
                <c:dPt>
                  <c:idx val="14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D8-3CCB-476F-95B8-640E14A88A15}"/>
                    </c:ext>
                  </c:extLst>
                </c:dPt>
                <c:dPt>
                  <c:idx val="15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DA-3CCB-476F-95B8-640E14A88A15}"/>
                    </c:ext>
                  </c:extLst>
                </c:dPt>
                <c:dPt>
                  <c:idx val="15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DC-3CCB-476F-95B8-640E14A88A15}"/>
                    </c:ext>
                  </c:extLst>
                </c:dPt>
                <c:dPt>
                  <c:idx val="15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DE-3CCB-476F-95B8-640E14A88A15}"/>
                    </c:ext>
                  </c:extLst>
                </c:dPt>
                <c:dPt>
                  <c:idx val="15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E0-3CCB-476F-95B8-640E14A88A15}"/>
                    </c:ext>
                  </c:extLst>
                </c:dPt>
                <c:dPt>
                  <c:idx val="15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E2-3CCB-476F-95B8-640E14A88A15}"/>
                    </c:ext>
                  </c:extLst>
                </c:dPt>
                <c:dPt>
                  <c:idx val="15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E4-3CCB-476F-95B8-640E14A88A15}"/>
                    </c:ext>
                  </c:extLst>
                </c:dPt>
                <c:dPt>
                  <c:idx val="15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E6-3CCB-476F-95B8-640E14A88A15}"/>
                    </c:ext>
                  </c:extLst>
                </c:dPt>
                <c:dPt>
                  <c:idx val="15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E8-3CCB-476F-95B8-640E14A88A15}"/>
                    </c:ext>
                  </c:extLst>
                </c:dPt>
                <c:dPt>
                  <c:idx val="15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EA-3CCB-476F-95B8-640E14A88A15}"/>
                    </c:ext>
                  </c:extLst>
                </c:dPt>
                <c:dPt>
                  <c:idx val="15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EC-3CCB-476F-95B8-640E14A88A15}"/>
                    </c:ext>
                  </c:extLst>
                </c:dPt>
                <c:dPt>
                  <c:idx val="16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EE-3CCB-476F-95B8-640E14A88A15}"/>
                    </c:ext>
                  </c:extLst>
                </c:dPt>
                <c:dPt>
                  <c:idx val="16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F0-3CCB-476F-95B8-640E14A88A15}"/>
                    </c:ext>
                  </c:extLst>
                </c:dPt>
                <c:dPt>
                  <c:idx val="16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F2-3CCB-476F-95B8-640E14A88A15}"/>
                    </c:ext>
                  </c:extLst>
                </c:dPt>
                <c:dPt>
                  <c:idx val="16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F4-3CCB-476F-95B8-640E14A88A15}"/>
                    </c:ext>
                  </c:extLst>
                </c:dPt>
                <c:dPt>
                  <c:idx val="16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F6-3CCB-476F-95B8-640E14A88A15}"/>
                    </c:ext>
                  </c:extLst>
                </c:dPt>
                <c:dPt>
                  <c:idx val="16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F8-3CCB-476F-95B8-640E14A88A15}"/>
                    </c:ext>
                  </c:extLst>
                </c:dPt>
                <c:dPt>
                  <c:idx val="16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FA-3CCB-476F-95B8-640E14A88A15}"/>
                    </c:ext>
                  </c:extLst>
                </c:dPt>
                <c:dPt>
                  <c:idx val="16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FC-3CCB-476F-95B8-640E14A88A15}"/>
                    </c:ext>
                  </c:extLst>
                </c:dPt>
                <c:dPt>
                  <c:idx val="16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FE-3CCB-476F-95B8-640E14A88A15}"/>
                    </c:ext>
                  </c:extLst>
                </c:dPt>
                <c:dPt>
                  <c:idx val="16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00-3CCB-476F-95B8-640E14A88A15}"/>
                    </c:ext>
                  </c:extLst>
                </c:dPt>
                <c:dPt>
                  <c:idx val="17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02-3CCB-476F-95B8-640E14A88A15}"/>
                    </c:ext>
                  </c:extLst>
                </c:dPt>
                <c:dPt>
                  <c:idx val="17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04-3CCB-476F-95B8-640E14A88A15}"/>
                    </c:ext>
                  </c:extLst>
                </c:dPt>
                <c:dPt>
                  <c:idx val="17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06-3CCB-476F-95B8-640E14A88A15}"/>
                    </c:ext>
                  </c:extLst>
                </c:dPt>
                <c:dPt>
                  <c:idx val="17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08-3CCB-476F-95B8-640E14A88A15}"/>
                    </c:ext>
                  </c:extLst>
                </c:dPt>
                <c:dPt>
                  <c:idx val="17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0A-3CCB-476F-95B8-640E14A88A15}"/>
                    </c:ext>
                  </c:extLst>
                </c:dPt>
                <c:dPt>
                  <c:idx val="17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0C-3CCB-476F-95B8-640E14A88A15}"/>
                    </c:ext>
                  </c:extLst>
                </c:dPt>
                <c:dPt>
                  <c:idx val="17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0E-3CCB-476F-95B8-640E14A88A15}"/>
                    </c:ext>
                  </c:extLst>
                </c:dPt>
                <c:dPt>
                  <c:idx val="17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10-3CCB-476F-95B8-640E14A88A15}"/>
                    </c:ext>
                  </c:extLst>
                </c:dPt>
                <c:dPt>
                  <c:idx val="17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12-3CCB-476F-95B8-640E14A88A15}"/>
                    </c:ext>
                  </c:extLst>
                </c:dPt>
                <c:dPt>
                  <c:idx val="17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14-3CCB-476F-95B8-640E14A88A15}"/>
                    </c:ext>
                  </c:extLst>
                </c:dPt>
                <c:dPt>
                  <c:idx val="18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16-3CCB-476F-95B8-640E14A88A15}"/>
                    </c:ext>
                  </c:extLst>
                </c:dPt>
                <c:dPt>
                  <c:idx val="18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18-3CCB-476F-95B8-640E14A88A15}"/>
                    </c:ext>
                  </c:extLst>
                </c:dPt>
                <c:dPt>
                  <c:idx val="18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1A-3CCB-476F-95B8-640E14A88A15}"/>
                    </c:ext>
                  </c:extLst>
                </c:dPt>
                <c:dPt>
                  <c:idx val="18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1C-3CCB-476F-95B8-640E14A88A15}"/>
                    </c:ext>
                  </c:extLst>
                </c:dPt>
                <c:dPt>
                  <c:idx val="18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1E-3CCB-476F-95B8-640E14A88A15}"/>
                    </c:ext>
                  </c:extLst>
                </c:dPt>
                <c:dPt>
                  <c:idx val="18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20-3CCB-476F-95B8-640E14A88A15}"/>
                    </c:ext>
                  </c:extLst>
                </c:dPt>
                <c:dPt>
                  <c:idx val="18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22-3CCB-476F-95B8-640E14A88A15}"/>
                    </c:ext>
                  </c:extLst>
                </c:dPt>
                <c:dPt>
                  <c:idx val="18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24-3CCB-476F-95B8-640E14A88A15}"/>
                    </c:ext>
                  </c:extLst>
                </c:dPt>
                <c:dPt>
                  <c:idx val="18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26-3CCB-476F-95B8-640E14A88A15}"/>
                    </c:ext>
                  </c:extLst>
                </c:dPt>
                <c:dPt>
                  <c:idx val="18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28-3CCB-476F-95B8-640E14A88A15}"/>
                    </c:ext>
                  </c:extLst>
                </c:dPt>
                <c:dPt>
                  <c:idx val="19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2A-3CCB-476F-95B8-640E14A88A15}"/>
                    </c:ext>
                  </c:extLst>
                </c:dPt>
                <c:dPt>
                  <c:idx val="19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2C-3CCB-476F-95B8-640E14A88A15}"/>
                    </c:ext>
                  </c:extLst>
                </c:dPt>
                <c:dPt>
                  <c:idx val="19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2E-3CCB-476F-95B8-640E14A88A15}"/>
                    </c:ext>
                  </c:extLst>
                </c:dPt>
                <c:dPt>
                  <c:idx val="19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30-3CCB-476F-95B8-640E14A88A15}"/>
                    </c:ext>
                  </c:extLst>
                </c:dPt>
                <c:dPt>
                  <c:idx val="19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32-3CCB-476F-95B8-640E14A88A15}"/>
                    </c:ext>
                  </c:extLst>
                </c:dPt>
                <c:dPt>
                  <c:idx val="19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34-3CCB-476F-95B8-640E14A88A15}"/>
                    </c:ext>
                  </c:extLst>
                </c:dPt>
                <c:dPt>
                  <c:idx val="19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36-3CCB-476F-95B8-640E14A88A15}"/>
                    </c:ext>
                  </c:extLst>
                </c:dPt>
                <c:dPt>
                  <c:idx val="19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38-3CCB-476F-95B8-640E14A88A15}"/>
                    </c:ext>
                  </c:extLst>
                </c:dPt>
                <c:dPt>
                  <c:idx val="19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3A-3CCB-476F-95B8-640E14A88A15}"/>
                    </c:ext>
                  </c:extLst>
                </c:dPt>
                <c:dPt>
                  <c:idx val="19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3C-3CCB-476F-95B8-640E14A88A15}"/>
                    </c:ext>
                  </c:extLst>
                </c:dPt>
                <c:dPt>
                  <c:idx val="20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3E-3CCB-476F-95B8-640E14A88A15}"/>
                    </c:ext>
                  </c:extLst>
                </c:dPt>
                <c:dPt>
                  <c:idx val="20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40-3CCB-476F-95B8-640E14A88A15}"/>
                    </c:ext>
                  </c:extLst>
                </c:dPt>
                <c:dPt>
                  <c:idx val="20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42-3CCB-476F-95B8-640E14A88A15}"/>
                    </c:ext>
                  </c:extLst>
                </c:dPt>
                <c:dPt>
                  <c:idx val="20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44-3CCB-476F-95B8-640E14A88A15}"/>
                    </c:ext>
                  </c:extLst>
                </c:dPt>
                <c:dPt>
                  <c:idx val="20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46-3CCB-476F-95B8-640E14A88A15}"/>
                    </c:ext>
                  </c:extLst>
                </c:dPt>
                <c:dPt>
                  <c:idx val="20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48-3CCB-476F-95B8-640E14A88A15}"/>
                    </c:ext>
                  </c:extLst>
                </c:dPt>
                <c:dPt>
                  <c:idx val="20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4A-3CCB-476F-95B8-640E14A88A15}"/>
                    </c:ext>
                  </c:extLst>
                </c:dPt>
                <c:dPt>
                  <c:idx val="20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4C-3CCB-476F-95B8-640E14A88A15}"/>
                    </c:ext>
                  </c:extLst>
                </c:dPt>
                <c:dPt>
                  <c:idx val="20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4E-3CCB-476F-95B8-640E14A88A15}"/>
                    </c:ext>
                  </c:extLst>
                </c:dPt>
                <c:dPt>
                  <c:idx val="20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50-3CCB-476F-95B8-640E14A88A15}"/>
                    </c:ext>
                  </c:extLst>
                </c:dPt>
                <c:dPt>
                  <c:idx val="21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52-3CCB-476F-95B8-640E14A88A15}"/>
                    </c:ext>
                  </c:extLst>
                </c:dPt>
                <c:dPt>
                  <c:idx val="21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54-3CCB-476F-95B8-640E14A88A15}"/>
                    </c:ext>
                  </c:extLst>
                </c:dPt>
                <c:dPt>
                  <c:idx val="21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56-3CCB-476F-95B8-640E14A88A15}"/>
                    </c:ext>
                  </c:extLst>
                </c:dPt>
                <c:dPt>
                  <c:idx val="21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58-3CCB-476F-95B8-640E14A88A15}"/>
                    </c:ext>
                  </c:extLst>
                </c:dPt>
                <c:dPt>
                  <c:idx val="21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5A-3CCB-476F-95B8-640E14A88A15}"/>
                    </c:ext>
                  </c:extLst>
                </c:dPt>
                <c:dPt>
                  <c:idx val="21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5C-3CCB-476F-95B8-640E14A88A15}"/>
                    </c:ext>
                  </c:extLst>
                </c:dPt>
                <c:dPt>
                  <c:idx val="21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5E-3CCB-476F-95B8-640E14A88A15}"/>
                    </c:ext>
                  </c:extLst>
                </c:dPt>
                <c:dPt>
                  <c:idx val="21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60-3CCB-476F-95B8-640E14A88A15}"/>
                    </c:ext>
                  </c:extLst>
                </c:dPt>
                <c:dPt>
                  <c:idx val="21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62-3CCB-476F-95B8-640E14A88A15}"/>
                    </c:ext>
                  </c:extLst>
                </c:dPt>
                <c:dPt>
                  <c:idx val="21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64-3CCB-476F-95B8-640E14A88A15}"/>
                    </c:ext>
                  </c:extLst>
                </c:dPt>
                <c:dPt>
                  <c:idx val="22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66-3CCB-476F-95B8-640E14A88A15}"/>
                    </c:ext>
                  </c:extLst>
                </c:dPt>
                <c:dPt>
                  <c:idx val="22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68-3CCB-476F-95B8-640E14A88A15}"/>
                    </c:ext>
                  </c:extLst>
                </c:dPt>
                <c:dPt>
                  <c:idx val="22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6A-3CCB-476F-95B8-640E14A88A15}"/>
                    </c:ext>
                  </c:extLst>
                </c:dPt>
                <c:dPt>
                  <c:idx val="22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6C-3CCB-476F-95B8-640E14A88A15}"/>
                    </c:ext>
                  </c:extLst>
                </c:dPt>
                <c:dPt>
                  <c:idx val="22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6E-3CCB-476F-95B8-640E14A88A15}"/>
                    </c:ext>
                  </c:extLst>
                </c:dPt>
                <c:dPt>
                  <c:idx val="22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70-3CCB-476F-95B8-640E14A88A15}"/>
                    </c:ext>
                  </c:extLst>
                </c:dPt>
                <c:dPt>
                  <c:idx val="22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72-3CCB-476F-95B8-640E14A88A15}"/>
                    </c:ext>
                  </c:extLst>
                </c:dPt>
                <c:dPt>
                  <c:idx val="22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74-3CCB-476F-95B8-640E14A88A15}"/>
                    </c:ext>
                  </c:extLst>
                </c:dPt>
                <c:dPt>
                  <c:idx val="22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76-3CCB-476F-95B8-640E14A88A15}"/>
                    </c:ext>
                  </c:extLst>
                </c:dPt>
                <c:dPt>
                  <c:idx val="22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78-3CCB-476F-95B8-640E14A88A15}"/>
                    </c:ext>
                  </c:extLst>
                </c:dPt>
                <c:dPt>
                  <c:idx val="23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7A-3CCB-476F-95B8-640E14A88A15}"/>
                    </c:ext>
                  </c:extLst>
                </c:dPt>
                <c:dPt>
                  <c:idx val="23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7C-3CCB-476F-95B8-640E14A88A15}"/>
                    </c:ext>
                  </c:extLst>
                </c:dPt>
                <c:dPt>
                  <c:idx val="23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7E-3CCB-476F-95B8-640E14A88A15}"/>
                    </c:ext>
                  </c:extLst>
                </c:dPt>
                <c:dPt>
                  <c:idx val="23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80-3CCB-476F-95B8-640E14A88A15}"/>
                    </c:ext>
                  </c:extLst>
                </c:dPt>
                <c:dPt>
                  <c:idx val="23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82-3CCB-476F-95B8-640E14A88A15}"/>
                    </c:ext>
                  </c:extLst>
                </c:dPt>
                <c:dPt>
                  <c:idx val="23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84-3CCB-476F-95B8-640E14A88A15}"/>
                    </c:ext>
                  </c:extLst>
                </c:dPt>
                <c:dPt>
                  <c:idx val="23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86-3CCB-476F-95B8-640E14A88A15}"/>
                    </c:ext>
                  </c:extLst>
                </c:dPt>
                <c:dPt>
                  <c:idx val="23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88-3CCB-476F-95B8-640E14A88A15}"/>
                    </c:ext>
                  </c:extLst>
                </c:dPt>
                <c:dPt>
                  <c:idx val="23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8A-3CCB-476F-95B8-640E14A88A15}"/>
                    </c:ext>
                  </c:extLst>
                </c:dPt>
                <c:dPt>
                  <c:idx val="23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8C-3CCB-476F-95B8-640E14A88A15}"/>
                    </c:ext>
                  </c:extLst>
                </c:dPt>
                <c:dPt>
                  <c:idx val="24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8E-3CCB-476F-95B8-640E14A88A15}"/>
                    </c:ext>
                  </c:extLst>
                </c:dPt>
                <c:dPt>
                  <c:idx val="24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90-3CCB-476F-95B8-640E14A88A15}"/>
                    </c:ext>
                  </c:extLst>
                </c:dPt>
                <c:dPt>
                  <c:idx val="24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92-3CCB-476F-95B8-640E14A88A15}"/>
                    </c:ext>
                  </c:extLst>
                </c:dPt>
                <c:dPt>
                  <c:idx val="24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94-3CCB-476F-95B8-640E14A88A15}"/>
                    </c:ext>
                  </c:extLst>
                </c:dPt>
                <c:dPt>
                  <c:idx val="24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96-3CCB-476F-95B8-640E14A88A15}"/>
                    </c:ext>
                  </c:extLst>
                </c:dPt>
                <c:dPt>
                  <c:idx val="24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98-3CCB-476F-95B8-640E14A88A15}"/>
                    </c:ext>
                  </c:extLst>
                </c:dPt>
                <c:dPt>
                  <c:idx val="24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9A-3CCB-476F-95B8-640E14A88A15}"/>
                    </c:ext>
                  </c:extLst>
                </c:dPt>
                <c:dPt>
                  <c:idx val="24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9C-3CCB-476F-95B8-640E14A88A15}"/>
                    </c:ext>
                  </c:extLst>
                </c:dPt>
                <c:dPt>
                  <c:idx val="24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9E-3CCB-476F-95B8-640E14A88A15}"/>
                    </c:ext>
                  </c:extLst>
                </c:dPt>
                <c:dPt>
                  <c:idx val="24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A0-3CCB-476F-95B8-640E14A88A15}"/>
                    </c:ext>
                  </c:extLst>
                </c:dPt>
                <c:dPt>
                  <c:idx val="25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A2-3CCB-476F-95B8-640E14A88A15}"/>
                    </c:ext>
                  </c:extLst>
                </c:dPt>
                <c:dPt>
                  <c:idx val="25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A4-3CCB-476F-95B8-640E14A88A15}"/>
                    </c:ext>
                  </c:extLst>
                </c:dPt>
                <c:dPt>
                  <c:idx val="25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A6-3CCB-476F-95B8-640E14A88A15}"/>
                    </c:ext>
                  </c:extLst>
                </c:dPt>
                <c:dPt>
                  <c:idx val="25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A8-3CCB-476F-95B8-640E14A88A15}"/>
                    </c:ext>
                  </c:extLst>
                </c:dPt>
                <c:dPt>
                  <c:idx val="25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AA-3CCB-476F-95B8-640E14A88A15}"/>
                    </c:ext>
                  </c:extLst>
                </c:dPt>
                <c:dPt>
                  <c:idx val="25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AC-3CCB-476F-95B8-640E14A88A15}"/>
                    </c:ext>
                  </c:extLst>
                </c:dPt>
                <c:dPt>
                  <c:idx val="25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AE-3CCB-476F-95B8-640E14A88A15}"/>
                    </c:ext>
                  </c:extLst>
                </c:dPt>
                <c:dPt>
                  <c:idx val="25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B0-3CCB-476F-95B8-640E14A88A15}"/>
                    </c:ext>
                  </c:extLst>
                </c:dPt>
                <c:dPt>
                  <c:idx val="25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B2-3CCB-476F-95B8-640E14A88A15}"/>
                    </c:ext>
                  </c:extLst>
                </c:dPt>
                <c:dPt>
                  <c:idx val="25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B4-3CCB-476F-95B8-640E14A88A15}"/>
                    </c:ext>
                  </c:extLst>
                </c:dPt>
                <c:dPt>
                  <c:idx val="26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B6-3CCB-476F-95B8-640E14A88A15}"/>
                    </c:ext>
                  </c:extLst>
                </c:dPt>
                <c:dPt>
                  <c:idx val="26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B8-3CCB-476F-95B8-640E14A88A15}"/>
                    </c:ext>
                  </c:extLst>
                </c:dPt>
                <c:dPt>
                  <c:idx val="26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BA-3CCB-476F-95B8-640E14A88A15}"/>
                    </c:ext>
                  </c:extLst>
                </c:dPt>
                <c:dPt>
                  <c:idx val="26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BC-3CCB-476F-95B8-640E14A88A15}"/>
                    </c:ext>
                  </c:extLst>
                </c:dPt>
                <c:dPt>
                  <c:idx val="26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BE-3CCB-476F-95B8-640E14A88A15}"/>
                    </c:ext>
                  </c:extLst>
                </c:dPt>
                <c:dPt>
                  <c:idx val="26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C0-3CCB-476F-95B8-640E14A88A15}"/>
                    </c:ext>
                  </c:extLst>
                </c:dPt>
                <c:dPt>
                  <c:idx val="26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C2-3CCB-476F-95B8-640E14A88A15}"/>
                    </c:ext>
                  </c:extLst>
                </c:dPt>
                <c:dPt>
                  <c:idx val="26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C4-3CCB-476F-95B8-640E14A88A15}"/>
                    </c:ext>
                  </c:extLst>
                </c:dPt>
                <c:dPt>
                  <c:idx val="26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C6-3CCB-476F-95B8-640E14A88A15}"/>
                    </c:ext>
                  </c:extLst>
                </c:dPt>
                <c:dPt>
                  <c:idx val="26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C8-3CCB-476F-95B8-640E14A88A15}"/>
                    </c:ext>
                  </c:extLst>
                </c:dPt>
                <c:dPt>
                  <c:idx val="27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CA-3CCB-476F-95B8-640E14A88A15}"/>
                    </c:ext>
                  </c:extLst>
                </c:dPt>
                <c:dPt>
                  <c:idx val="27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CC-3CCB-476F-95B8-640E14A88A15}"/>
                    </c:ext>
                  </c:extLst>
                </c:dPt>
                <c:dPt>
                  <c:idx val="27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CE-3CCB-476F-95B8-640E14A88A15}"/>
                    </c:ext>
                  </c:extLst>
                </c:dPt>
                <c:dPt>
                  <c:idx val="27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D0-3CCB-476F-95B8-640E14A88A15}"/>
                    </c:ext>
                  </c:extLst>
                </c:dPt>
                <c:dPt>
                  <c:idx val="27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D2-3CCB-476F-95B8-640E14A88A15}"/>
                    </c:ext>
                  </c:extLst>
                </c:dPt>
                <c:dPt>
                  <c:idx val="27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D4-3CCB-476F-95B8-640E14A88A15}"/>
                    </c:ext>
                  </c:extLst>
                </c:dPt>
                <c:dPt>
                  <c:idx val="27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D6-3CCB-476F-95B8-640E14A88A15}"/>
                    </c:ext>
                  </c:extLst>
                </c:dPt>
                <c:dPt>
                  <c:idx val="27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D8-3CCB-476F-95B8-640E14A88A15}"/>
                    </c:ext>
                  </c:extLst>
                </c:dPt>
                <c:dPt>
                  <c:idx val="27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DA-3CCB-476F-95B8-640E14A88A15}"/>
                    </c:ext>
                  </c:extLst>
                </c:dPt>
                <c:dPt>
                  <c:idx val="27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DC-3CCB-476F-95B8-640E14A88A15}"/>
                    </c:ext>
                  </c:extLst>
                </c:dPt>
                <c:dPt>
                  <c:idx val="28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DE-3CCB-476F-95B8-640E14A88A15}"/>
                    </c:ext>
                  </c:extLst>
                </c:dPt>
                <c:dPt>
                  <c:idx val="28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E0-3CCB-476F-95B8-640E14A88A15}"/>
                    </c:ext>
                  </c:extLst>
                </c:dPt>
                <c:dPt>
                  <c:idx val="28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E2-3CCB-476F-95B8-640E14A88A15}"/>
                    </c:ext>
                  </c:extLst>
                </c:dPt>
                <c:dPt>
                  <c:idx val="28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E4-3CCB-476F-95B8-640E14A88A15}"/>
                    </c:ext>
                  </c:extLst>
                </c:dPt>
                <c:dPt>
                  <c:idx val="28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E6-3CCB-476F-95B8-640E14A88A15}"/>
                    </c:ext>
                  </c:extLst>
                </c:dPt>
                <c:dPt>
                  <c:idx val="28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E8-3CCB-476F-95B8-640E14A88A15}"/>
                    </c:ext>
                  </c:extLst>
                </c:dPt>
                <c:dPt>
                  <c:idx val="28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EA-3CCB-476F-95B8-640E14A88A15}"/>
                    </c:ext>
                  </c:extLst>
                </c:dPt>
                <c:dPt>
                  <c:idx val="28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EC-3CCB-476F-95B8-640E14A88A15}"/>
                    </c:ext>
                  </c:extLst>
                </c:dPt>
                <c:dPt>
                  <c:idx val="28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EE-3CCB-476F-95B8-640E14A88A15}"/>
                    </c:ext>
                  </c:extLst>
                </c:dPt>
                <c:dPt>
                  <c:idx val="28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F0-3CCB-476F-95B8-640E14A88A15}"/>
                    </c:ext>
                  </c:extLst>
                </c:dPt>
                <c:dPt>
                  <c:idx val="29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F2-3CCB-476F-95B8-640E14A88A15}"/>
                    </c:ext>
                  </c:extLst>
                </c:dPt>
                <c:dPt>
                  <c:idx val="29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F4-3CCB-476F-95B8-640E14A88A15}"/>
                    </c:ext>
                  </c:extLst>
                </c:dPt>
                <c:dPt>
                  <c:idx val="29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F6-3CCB-476F-95B8-640E14A88A15}"/>
                    </c:ext>
                  </c:extLst>
                </c:dPt>
                <c:dPt>
                  <c:idx val="29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F8-3CCB-476F-95B8-640E14A88A15}"/>
                    </c:ext>
                  </c:extLst>
                </c:dPt>
                <c:dPt>
                  <c:idx val="29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FA-3CCB-476F-95B8-640E14A88A15}"/>
                    </c:ext>
                  </c:extLst>
                </c:dPt>
                <c:dPt>
                  <c:idx val="29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FC-3CCB-476F-95B8-640E14A88A15}"/>
                    </c:ext>
                  </c:extLst>
                </c:dPt>
                <c:dPt>
                  <c:idx val="29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FE-3CCB-476F-95B8-640E14A88A15}"/>
                    </c:ext>
                  </c:extLst>
                </c:dPt>
                <c:dPt>
                  <c:idx val="29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00-3CCB-476F-95B8-640E14A88A15}"/>
                    </c:ext>
                  </c:extLst>
                </c:dPt>
                <c:dPt>
                  <c:idx val="29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02-3CCB-476F-95B8-640E14A88A15}"/>
                    </c:ext>
                  </c:extLst>
                </c:dPt>
                <c:dPt>
                  <c:idx val="29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04-3CCB-476F-95B8-640E14A88A15}"/>
                    </c:ext>
                  </c:extLst>
                </c:dPt>
                <c:dPt>
                  <c:idx val="30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06-3CCB-476F-95B8-640E14A88A15}"/>
                    </c:ext>
                  </c:extLst>
                </c:dPt>
                <c:dPt>
                  <c:idx val="30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08-3CCB-476F-95B8-640E14A88A15}"/>
                    </c:ext>
                  </c:extLst>
                </c:dPt>
                <c:dPt>
                  <c:idx val="30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0A-3CCB-476F-95B8-640E14A88A15}"/>
                    </c:ext>
                  </c:extLst>
                </c:dPt>
                <c:dPt>
                  <c:idx val="30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0C-3CCB-476F-95B8-640E14A88A15}"/>
                    </c:ext>
                  </c:extLst>
                </c:dPt>
                <c:dPt>
                  <c:idx val="30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0E-3CCB-476F-95B8-640E14A88A15}"/>
                    </c:ext>
                  </c:extLst>
                </c:dPt>
                <c:dPt>
                  <c:idx val="30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10-3CCB-476F-95B8-640E14A88A15}"/>
                    </c:ext>
                  </c:extLst>
                </c:dPt>
                <c:dPt>
                  <c:idx val="30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12-3CCB-476F-95B8-640E14A88A15}"/>
                    </c:ext>
                  </c:extLst>
                </c:dPt>
                <c:dPt>
                  <c:idx val="30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14-3CCB-476F-95B8-640E14A88A15}"/>
                    </c:ext>
                  </c:extLst>
                </c:dPt>
                <c:dPt>
                  <c:idx val="30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16-3CCB-476F-95B8-640E14A88A15}"/>
                    </c:ext>
                  </c:extLst>
                </c:dPt>
                <c:dPt>
                  <c:idx val="30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18-3CCB-476F-95B8-640E14A88A15}"/>
                    </c:ext>
                  </c:extLst>
                </c:dPt>
                <c:dPt>
                  <c:idx val="31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1A-3CCB-476F-95B8-640E14A88A15}"/>
                    </c:ext>
                  </c:extLst>
                </c:dPt>
                <c:dPt>
                  <c:idx val="31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1C-3CCB-476F-95B8-640E14A88A15}"/>
                    </c:ext>
                  </c:extLst>
                </c:dPt>
                <c:dPt>
                  <c:idx val="31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1E-3CCB-476F-95B8-640E14A88A15}"/>
                    </c:ext>
                  </c:extLst>
                </c:dPt>
                <c:dPt>
                  <c:idx val="31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20-3CCB-476F-95B8-640E14A88A15}"/>
                    </c:ext>
                  </c:extLst>
                </c:dPt>
                <c:dPt>
                  <c:idx val="31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22-3CCB-476F-95B8-640E14A88A15}"/>
                    </c:ext>
                  </c:extLst>
                </c:dPt>
                <c:dPt>
                  <c:idx val="31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24-3CCB-476F-95B8-640E14A88A15}"/>
                    </c:ext>
                  </c:extLst>
                </c:dPt>
                <c:dPt>
                  <c:idx val="31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26-3CCB-476F-95B8-640E14A88A15}"/>
                    </c:ext>
                  </c:extLst>
                </c:dPt>
                <c:dPt>
                  <c:idx val="31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28-3CCB-476F-95B8-640E14A88A15}"/>
                    </c:ext>
                  </c:extLst>
                </c:dPt>
                <c:dPt>
                  <c:idx val="31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2A-3CCB-476F-95B8-640E14A88A15}"/>
                    </c:ext>
                  </c:extLst>
                </c:dPt>
                <c:dPt>
                  <c:idx val="31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2C-3CCB-476F-95B8-640E14A88A15}"/>
                    </c:ext>
                  </c:extLst>
                </c:dPt>
                <c:dPt>
                  <c:idx val="32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2E-3CCB-476F-95B8-640E14A88A15}"/>
                    </c:ext>
                  </c:extLst>
                </c:dPt>
                <c:dPt>
                  <c:idx val="32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30-3CCB-476F-95B8-640E14A88A15}"/>
                    </c:ext>
                  </c:extLst>
                </c:dPt>
                <c:dPt>
                  <c:idx val="32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32-3CCB-476F-95B8-640E14A88A15}"/>
                    </c:ext>
                  </c:extLst>
                </c:dPt>
                <c:dPt>
                  <c:idx val="32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34-3CCB-476F-95B8-640E14A88A15}"/>
                    </c:ext>
                  </c:extLst>
                </c:dPt>
                <c:dPt>
                  <c:idx val="32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36-3CCB-476F-95B8-640E14A88A15}"/>
                    </c:ext>
                  </c:extLst>
                </c:dPt>
                <c:dPt>
                  <c:idx val="32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38-3CCB-476F-95B8-640E14A88A15}"/>
                    </c:ext>
                  </c:extLst>
                </c:dPt>
                <c:dPt>
                  <c:idx val="32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3A-3CCB-476F-95B8-640E14A88A15}"/>
                    </c:ext>
                  </c:extLst>
                </c:dPt>
                <c:dPt>
                  <c:idx val="32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3C-3CCB-476F-95B8-640E14A88A15}"/>
                    </c:ext>
                  </c:extLst>
                </c:dPt>
                <c:dPt>
                  <c:idx val="32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3E-3CCB-476F-95B8-640E14A88A15}"/>
                    </c:ext>
                  </c:extLst>
                </c:dPt>
                <c:dPt>
                  <c:idx val="32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40-3CCB-476F-95B8-640E14A88A15}"/>
                    </c:ext>
                  </c:extLst>
                </c:dPt>
                <c:dPt>
                  <c:idx val="33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42-3CCB-476F-95B8-640E14A88A15}"/>
                    </c:ext>
                  </c:extLst>
                </c:dPt>
                <c:dPt>
                  <c:idx val="33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44-3CCB-476F-95B8-640E14A88A15}"/>
                    </c:ext>
                  </c:extLst>
                </c:dPt>
                <c:dPt>
                  <c:idx val="33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46-3CCB-476F-95B8-640E14A88A15}"/>
                    </c:ext>
                  </c:extLst>
                </c:dPt>
                <c:dPt>
                  <c:idx val="33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48-3CCB-476F-95B8-640E14A88A15}"/>
                    </c:ext>
                  </c:extLst>
                </c:dPt>
                <c:dPt>
                  <c:idx val="33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4A-3CCB-476F-95B8-640E14A88A15}"/>
                    </c:ext>
                  </c:extLst>
                </c:dPt>
                <c:dPt>
                  <c:idx val="33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4C-3CCB-476F-95B8-640E14A88A15}"/>
                    </c:ext>
                  </c:extLst>
                </c:dPt>
                <c:dPt>
                  <c:idx val="33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4E-3CCB-476F-95B8-640E14A88A15}"/>
                    </c:ext>
                  </c:extLst>
                </c:dPt>
                <c:dPt>
                  <c:idx val="33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50-3CCB-476F-95B8-640E14A88A15}"/>
                    </c:ext>
                  </c:extLst>
                </c:dPt>
                <c:dPt>
                  <c:idx val="33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52-3CCB-476F-95B8-640E14A88A15}"/>
                    </c:ext>
                  </c:extLst>
                </c:dPt>
                <c:dPt>
                  <c:idx val="33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54-3CCB-476F-95B8-640E14A88A15}"/>
                    </c:ext>
                  </c:extLst>
                </c:dPt>
                <c:dPt>
                  <c:idx val="34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56-3CCB-476F-95B8-640E14A88A15}"/>
                    </c:ext>
                  </c:extLst>
                </c:dPt>
                <c:dPt>
                  <c:idx val="34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58-3CCB-476F-95B8-640E14A88A15}"/>
                    </c:ext>
                  </c:extLst>
                </c:dPt>
                <c:dPt>
                  <c:idx val="34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5A-3CCB-476F-95B8-640E14A88A15}"/>
                    </c:ext>
                  </c:extLst>
                </c:dPt>
                <c:dPt>
                  <c:idx val="34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5C-3CCB-476F-95B8-640E14A88A15}"/>
                    </c:ext>
                  </c:extLst>
                </c:dPt>
                <c:dPt>
                  <c:idx val="34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5E-3CCB-476F-95B8-640E14A88A15}"/>
                    </c:ext>
                  </c:extLst>
                </c:dPt>
                <c:dPt>
                  <c:idx val="34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60-3CCB-476F-95B8-640E14A88A15}"/>
                    </c:ext>
                  </c:extLst>
                </c:dPt>
                <c:dPt>
                  <c:idx val="34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62-3CCB-476F-95B8-640E14A88A15}"/>
                    </c:ext>
                  </c:extLst>
                </c:dPt>
                <c:dPt>
                  <c:idx val="34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64-3CCB-476F-95B8-640E14A88A15}"/>
                    </c:ext>
                  </c:extLst>
                </c:dPt>
                <c:dPt>
                  <c:idx val="34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66-3CCB-476F-95B8-640E14A88A15}"/>
                    </c:ext>
                  </c:extLst>
                </c:dPt>
                <c:dPt>
                  <c:idx val="34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68-3CCB-476F-95B8-640E14A88A15}"/>
                    </c:ext>
                  </c:extLst>
                </c:dPt>
                <c:dPt>
                  <c:idx val="35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6A-3CCB-476F-95B8-640E14A88A15}"/>
                    </c:ext>
                  </c:extLst>
                </c:dPt>
                <c:dPt>
                  <c:idx val="35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6C-3CCB-476F-95B8-640E14A88A15}"/>
                    </c:ext>
                  </c:extLst>
                </c:dPt>
                <c:dPt>
                  <c:idx val="35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6E-3CCB-476F-95B8-640E14A88A15}"/>
                    </c:ext>
                  </c:extLst>
                </c:dPt>
                <c:dPt>
                  <c:idx val="35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70-3CCB-476F-95B8-640E14A88A15}"/>
                    </c:ext>
                  </c:extLst>
                </c:dPt>
                <c:dPt>
                  <c:idx val="35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72-3CCB-476F-95B8-640E14A88A15}"/>
                    </c:ext>
                  </c:extLst>
                </c:dPt>
                <c:dPt>
                  <c:idx val="35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74-3CCB-476F-95B8-640E14A88A15}"/>
                    </c:ext>
                  </c:extLst>
                </c:dPt>
                <c:dPt>
                  <c:idx val="35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76-3CCB-476F-95B8-640E14A88A15}"/>
                    </c:ext>
                  </c:extLst>
                </c:dPt>
                <c:dPt>
                  <c:idx val="35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78-3CCB-476F-95B8-640E14A88A15}"/>
                    </c:ext>
                  </c:extLst>
                </c:dPt>
                <c:dPt>
                  <c:idx val="35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7A-3CCB-476F-95B8-640E14A88A15}"/>
                    </c:ext>
                  </c:extLst>
                </c:dPt>
                <c:dPt>
                  <c:idx val="35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7C-3CCB-476F-95B8-640E14A88A15}"/>
                    </c:ext>
                  </c:extLst>
                </c:dPt>
                <c:dPt>
                  <c:idx val="36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7E-3CCB-476F-95B8-640E14A88A15}"/>
                    </c:ext>
                  </c:extLst>
                </c:dPt>
                <c:dPt>
                  <c:idx val="36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80-3CCB-476F-95B8-640E14A88A15}"/>
                    </c:ext>
                  </c:extLst>
                </c:dPt>
                <c:dPt>
                  <c:idx val="36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82-3CCB-476F-95B8-640E14A88A15}"/>
                    </c:ext>
                  </c:extLst>
                </c:dPt>
                <c:dPt>
                  <c:idx val="36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84-3CCB-476F-95B8-640E14A88A15}"/>
                    </c:ext>
                  </c:extLst>
                </c:dPt>
                <c:dPt>
                  <c:idx val="36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86-3CCB-476F-95B8-640E14A88A15}"/>
                    </c:ext>
                  </c:extLst>
                </c:dPt>
                <c:dPt>
                  <c:idx val="36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88-3CCB-476F-95B8-640E14A88A15}"/>
                    </c:ext>
                  </c:extLst>
                </c:dPt>
                <c:dPt>
                  <c:idx val="36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8A-3CCB-476F-95B8-640E14A88A15}"/>
                    </c:ext>
                  </c:extLst>
                </c:dPt>
                <c:dPt>
                  <c:idx val="36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8C-3CCB-476F-95B8-640E14A88A15}"/>
                    </c:ext>
                  </c:extLst>
                </c:dPt>
                <c:dPt>
                  <c:idx val="36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8E-3CCB-476F-95B8-640E14A88A15}"/>
                    </c:ext>
                  </c:extLst>
                </c:dPt>
                <c:dPt>
                  <c:idx val="36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90-3CCB-476F-95B8-640E14A88A15}"/>
                    </c:ext>
                  </c:extLst>
                </c:dPt>
                <c:dPt>
                  <c:idx val="37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92-3CCB-476F-95B8-640E14A88A15}"/>
                    </c:ext>
                  </c:extLst>
                </c:dPt>
                <c:dPt>
                  <c:idx val="37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94-3CCB-476F-95B8-640E14A88A15}"/>
                    </c:ext>
                  </c:extLst>
                </c:dPt>
                <c:dPt>
                  <c:idx val="37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96-3CCB-476F-95B8-640E14A88A15}"/>
                    </c:ext>
                  </c:extLst>
                </c:dPt>
                <c:dPt>
                  <c:idx val="37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98-3CCB-476F-95B8-640E14A88A15}"/>
                    </c:ext>
                  </c:extLst>
                </c:dPt>
                <c:dPt>
                  <c:idx val="37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9A-3CCB-476F-95B8-640E14A88A15}"/>
                    </c:ext>
                  </c:extLst>
                </c:dPt>
                <c:dPt>
                  <c:idx val="37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9C-3CCB-476F-95B8-640E14A88A15}"/>
                    </c:ext>
                  </c:extLst>
                </c:dPt>
                <c:dPt>
                  <c:idx val="37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9E-3CCB-476F-95B8-640E14A88A15}"/>
                    </c:ext>
                  </c:extLst>
                </c:dPt>
                <c:dPt>
                  <c:idx val="37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A0-3CCB-476F-95B8-640E14A88A15}"/>
                    </c:ext>
                  </c:extLst>
                </c:dPt>
                <c:dPt>
                  <c:idx val="37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A2-3CCB-476F-95B8-640E14A88A15}"/>
                    </c:ext>
                  </c:extLst>
                </c:dPt>
                <c:dPt>
                  <c:idx val="37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A4-3CCB-476F-95B8-640E14A88A15}"/>
                    </c:ext>
                  </c:extLst>
                </c:dPt>
                <c:dPt>
                  <c:idx val="38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A6-3CCB-476F-95B8-640E14A88A15}"/>
                    </c:ext>
                  </c:extLst>
                </c:dPt>
                <c:dPt>
                  <c:idx val="38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A8-3CCB-476F-95B8-640E14A88A15}"/>
                    </c:ext>
                  </c:extLst>
                </c:dPt>
                <c:dPt>
                  <c:idx val="38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AA-3CCB-476F-95B8-640E14A88A15}"/>
                    </c:ext>
                  </c:extLst>
                </c:dPt>
                <c:dPt>
                  <c:idx val="38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AC-3CCB-476F-95B8-640E14A88A15}"/>
                    </c:ext>
                  </c:extLst>
                </c:dPt>
                <c:dPt>
                  <c:idx val="38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AE-3CCB-476F-95B8-640E14A88A15}"/>
                    </c:ext>
                  </c:extLst>
                </c:dPt>
                <c:dPt>
                  <c:idx val="38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B0-3CCB-476F-95B8-640E14A88A15}"/>
                    </c:ext>
                  </c:extLst>
                </c:dPt>
                <c:dPt>
                  <c:idx val="38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B2-3CCB-476F-95B8-640E14A88A15}"/>
                    </c:ext>
                  </c:extLst>
                </c:dPt>
                <c:dPt>
                  <c:idx val="38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B4-3CCB-476F-95B8-640E14A88A15}"/>
                    </c:ext>
                  </c:extLst>
                </c:dPt>
                <c:dPt>
                  <c:idx val="38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B6-3CCB-476F-95B8-640E14A88A15}"/>
                    </c:ext>
                  </c:extLst>
                </c:dPt>
                <c:dPt>
                  <c:idx val="38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B8-3CCB-476F-95B8-640E14A88A15}"/>
                    </c:ext>
                  </c:extLst>
                </c:dPt>
                <c:dPt>
                  <c:idx val="39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BA-3CCB-476F-95B8-640E14A88A15}"/>
                    </c:ext>
                  </c:extLst>
                </c:dPt>
                <c:dPt>
                  <c:idx val="39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BC-3CCB-476F-95B8-640E14A88A15}"/>
                    </c:ext>
                  </c:extLst>
                </c:dPt>
                <c:dPt>
                  <c:idx val="39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BE-3CCB-476F-95B8-640E14A88A15}"/>
                    </c:ext>
                  </c:extLst>
                </c:dPt>
                <c:dPt>
                  <c:idx val="39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C0-3CCB-476F-95B8-640E14A88A15}"/>
                    </c:ext>
                  </c:extLst>
                </c:dPt>
                <c:dPt>
                  <c:idx val="39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C2-3CCB-476F-95B8-640E14A88A15}"/>
                    </c:ext>
                  </c:extLst>
                </c:dPt>
                <c:dPt>
                  <c:idx val="39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C4-3CCB-476F-95B8-640E14A88A15}"/>
                    </c:ext>
                  </c:extLst>
                </c:dPt>
                <c:dPt>
                  <c:idx val="39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C6-3CCB-476F-95B8-640E14A88A15}"/>
                    </c:ext>
                  </c:extLst>
                </c:dPt>
                <c:dPt>
                  <c:idx val="39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C8-3CCB-476F-95B8-640E14A88A15}"/>
                    </c:ext>
                  </c:extLst>
                </c:dPt>
                <c:dPt>
                  <c:idx val="39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CA-3CCB-476F-95B8-640E14A88A15}"/>
                    </c:ext>
                  </c:extLst>
                </c:dPt>
                <c:dPt>
                  <c:idx val="39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CC-3CCB-476F-95B8-640E14A88A15}"/>
                    </c:ext>
                  </c:extLst>
                </c:dPt>
                <c:dPt>
                  <c:idx val="40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CE-3CCB-476F-95B8-640E14A88A15}"/>
                    </c:ext>
                  </c:extLst>
                </c:dPt>
                <c:dPt>
                  <c:idx val="40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D0-3CCB-476F-95B8-640E14A88A15}"/>
                    </c:ext>
                  </c:extLst>
                </c:dPt>
                <c:dPt>
                  <c:idx val="40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D2-3CCB-476F-95B8-640E14A88A15}"/>
                    </c:ext>
                  </c:extLst>
                </c:dPt>
                <c:dPt>
                  <c:idx val="40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D4-3CCB-476F-95B8-640E14A88A15}"/>
                    </c:ext>
                  </c:extLst>
                </c:dPt>
                <c:dPt>
                  <c:idx val="40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D6-3CCB-476F-95B8-640E14A88A15}"/>
                    </c:ext>
                  </c:extLst>
                </c:dPt>
                <c:dPt>
                  <c:idx val="40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D8-3CCB-476F-95B8-640E14A88A15}"/>
                    </c:ext>
                  </c:extLst>
                </c:dPt>
                <c:dPt>
                  <c:idx val="40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DA-3CCB-476F-95B8-640E14A88A15}"/>
                    </c:ext>
                  </c:extLst>
                </c:dPt>
                <c:dPt>
                  <c:idx val="40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DC-3CCB-476F-95B8-640E14A88A15}"/>
                    </c:ext>
                  </c:extLst>
                </c:dPt>
                <c:dPt>
                  <c:idx val="40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DE-3CCB-476F-95B8-640E14A88A15}"/>
                    </c:ext>
                  </c:extLst>
                </c:dPt>
                <c:dPt>
                  <c:idx val="40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E0-3CCB-476F-95B8-640E14A88A15}"/>
                    </c:ext>
                  </c:extLst>
                </c:dPt>
                <c:dPt>
                  <c:idx val="41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E2-3CCB-476F-95B8-640E14A88A15}"/>
                    </c:ext>
                  </c:extLst>
                </c:dPt>
                <c:dPt>
                  <c:idx val="41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E4-3CCB-476F-95B8-640E14A88A15}"/>
                    </c:ext>
                  </c:extLst>
                </c:dPt>
                <c:dPt>
                  <c:idx val="41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E6-3CCB-476F-95B8-640E14A88A15}"/>
                    </c:ext>
                  </c:extLst>
                </c:dPt>
                <c:dPt>
                  <c:idx val="41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E8-3CCB-476F-95B8-640E14A88A15}"/>
                    </c:ext>
                  </c:extLst>
                </c:dPt>
                <c:dPt>
                  <c:idx val="41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EA-3CCB-476F-95B8-640E14A88A15}"/>
                    </c:ext>
                  </c:extLst>
                </c:dPt>
                <c:dPt>
                  <c:idx val="41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EC-3CCB-476F-95B8-640E14A88A15}"/>
                    </c:ext>
                  </c:extLst>
                </c:dPt>
                <c:dPt>
                  <c:idx val="41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EE-3CCB-476F-95B8-640E14A88A15}"/>
                    </c:ext>
                  </c:extLst>
                </c:dPt>
                <c:dPt>
                  <c:idx val="41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F0-3CCB-476F-95B8-640E14A88A15}"/>
                    </c:ext>
                  </c:extLst>
                </c:dPt>
                <c:dPt>
                  <c:idx val="41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F2-3CCB-476F-95B8-640E14A88A15}"/>
                    </c:ext>
                  </c:extLst>
                </c:dPt>
                <c:dPt>
                  <c:idx val="41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F4-3CCB-476F-95B8-640E14A88A15}"/>
                    </c:ext>
                  </c:extLst>
                </c:dPt>
                <c:dPt>
                  <c:idx val="42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F6-3CCB-476F-95B8-640E14A88A15}"/>
                    </c:ext>
                  </c:extLst>
                </c:dPt>
                <c:dPt>
                  <c:idx val="42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F8-3CCB-476F-95B8-640E14A88A15}"/>
                    </c:ext>
                  </c:extLst>
                </c:dPt>
                <c:dPt>
                  <c:idx val="42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FA-3CCB-476F-95B8-640E14A88A15}"/>
                    </c:ext>
                  </c:extLst>
                </c:dPt>
                <c:dPt>
                  <c:idx val="42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FC-3CCB-476F-95B8-640E14A88A15}"/>
                    </c:ext>
                  </c:extLst>
                </c:dPt>
                <c:dPt>
                  <c:idx val="42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FE-3CCB-476F-95B8-640E14A88A15}"/>
                    </c:ext>
                  </c:extLst>
                </c:dPt>
                <c:dPt>
                  <c:idx val="42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00-3CCB-476F-95B8-640E14A88A15}"/>
                    </c:ext>
                  </c:extLst>
                </c:dPt>
                <c:dPt>
                  <c:idx val="42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02-3CCB-476F-95B8-640E14A88A15}"/>
                    </c:ext>
                  </c:extLst>
                </c:dPt>
                <c:dPt>
                  <c:idx val="42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04-3CCB-476F-95B8-640E14A88A15}"/>
                    </c:ext>
                  </c:extLst>
                </c:dPt>
                <c:dPt>
                  <c:idx val="42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06-3CCB-476F-95B8-640E14A88A15}"/>
                    </c:ext>
                  </c:extLst>
                </c:dPt>
                <c:dPt>
                  <c:idx val="42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08-3CCB-476F-95B8-640E14A88A15}"/>
                    </c:ext>
                  </c:extLst>
                </c:dPt>
                <c:dPt>
                  <c:idx val="43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0A-3CCB-476F-95B8-640E14A88A15}"/>
                    </c:ext>
                  </c:extLst>
                </c:dPt>
                <c:dPt>
                  <c:idx val="43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0C-3CCB-476F-95B8-640E14A88A15}"/>
                    </c:ext>
                  </c:extLst>
                </c:dPt>
                <c:dPt>
                  <c:idx val="43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0E-3CCB-476F-95B8-640E14A88A15}"/>
                    </c:ext>
                  </c:extLst>
                </c:dPt>
                <c:dPt>
                  <c:idx val="43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10-3CCB-476F-95B8-640E14A88A15}"/>
                    </c:ext>
                  </c:extLst>
                </c:dPt>
                <c:dPt>
                  <c:idx val="43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12-3CCB-476F-95B8-640E14A88A15}"/>
                    </c:ext>
                  </c:extLst>
                </c:dPt>
                <c:dPt>
                  <c:idx val="43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14-3CCB-476F-95B8-640E14A88A15}"/>
                    </c:ext>
                  </c:extLst>
                </c:dPt>
                <c:dPt>
                  <c:idx val="43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16-3CCB-476F-95B8-640E14A88A15}"/>
                    </c:ext>
                  </c:extLst>
                </c:dPt>
                <c:dPt>
                  <c:idx val="43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18-3CCB-476F-95B8-640E14A88A15}"/>
                    </c:ext>
                  </c:extLst>
                </c:dPt>
                <c:dPt>
                  <c:idx val="43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1A-3CCB-476F-95B8-640E14A88A15}"/>
                    </c:ext>
                  </c:extLst>
                </c:dPt>
                <c:dPt>
                  <c:idx val="43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1C-3CCB-476F-95B8-640E14A88A15}"/>
                    </c:ext>
                  </c:extLst>
                </c:dPt>
                <c:dPt>
                  <c:idx val="44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1E-3CCB-476F-95B8-640E14A88A15}"/>
                    </c:ext>
                  </c:extLst>
                </c:dPt>
                <c:dPt>
                  <c:idx val="44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20-3CCB-476F-95B8-640E14A88A15}"/>
                    </c:ext>
                  </c:extLst>
                </c:dPt>
                <c:dPt>
                  <c:idx val="44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22-3CCB-476F-95B8-640E14A88A15}"/>
                    </c:ext>
                  </c:extLst>
                </c:dPt>
                <c:dPt>
                  <c:idx val="44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24-3CCB-476F-95B8-640E14A88A15}"/>
                    </c:ext>
                  </c:extLst>
                </c:dPt>
                <c:dPt>
                  <c:idx val="44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26-3CCB-476F-95B8-640E14A88A15}"/>
                    </c:ext>
                  </c:extLst>
                </c:dPt>
                <c:dPt>
                  <c:idx val="44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28-3CCB-476F-95B8-640E14A88A15}"/>
                    </c:ext>
                  </c:extLst>
                </c:dPt>
                <c:dPt>
                  <c:idx val="44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2A-3CCB-476F-95B8-640E14A88A15}"/>
                    </c:ext>
                  </c:extLst>
                </c:dPt>
                <c:dPt>
                  <c:idx val="44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2C-3CCB-476F-95B8-640E14A88A15}"/>
                    </c:ext>
                  </c:extLst>
                </c:dPt>
                <c:dPt>
                  <c:idx val="44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2E-3CCB-476F-95B8-640E14A88A15}"/>
                    </c:ext>
                  </c:extLst>
                </c:dPt>
                <c:dPt>
                  <c:idx val="44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30-3CCB-476F-95B8-640E14A88A15}"/>
                    </c:ext>
                  </c:extLst>
                </c:dPt>
                <c:dPt>
                  <c:idx val="45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32-3CCB-476F-95B8-640E14A88A15}"/>
                    </c:ext>
                  </c:extLst>
                </c:dPt>
                <c:dPt>
                  <c:idx val="45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34-3CCB-476F-95B8-640E14A88A15}"/>
                    </c:ext>
                  </c:extLst>
                </c:dPt>
                <c:dPt>
                  <c:idx val="45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36-3CCB-476F-95B8-640E14A88A15}"/>
                    </c:ext>
                  </c:extLst>
                </c:dPt>
                <c:dPt>
                  <c:idx val="45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38-3CCB-476F-95B8-640E14A88A15}"/>
                    </c:ext>
                  </c:extLst>
                </c:dPt>
                <c:dPt>
                  <c:idx val="45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3A-3CCB-476F-95B8-640E14A88A15}"/>
                    </c:ext>
                  </c:extLst>
                </c:dPt>
                <c:dPt>
                  <c:idx val="45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3C-3CCB-476F-95B8-640E14A88A15}"/>
                    </c:ext>
                  </c:extLst>
                </c:dPt>
                <c:dPt>
                  <c:idx val="45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3E-3CCB-476F-95B8-640E14A88A15}"/>
                    </c:ext>
                  </c:extLst>
                </c:dPt>
                <c:dPt>
                  <c:idx val="45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40-3CCB-476F-95B8-640E14A88A15}"/>
                    </c:ext>
                  </c:extLst>
                </c:dPt>
                <c:dPt>
                  <c:idx val="45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42-3CCB-476F-95B8-640E14A88A15}"/>
                    </c:ext>
                  </c:extLst>
                </c:dPt>
                <c:dPt>
                  <c:idx val="45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44-3CCB-476F-95B8-640E14A88A15}"/>
                    </c:ext>
                  </c:extLst>
                </c:dPt>
                <c:dPt>
                  <c:idx val="46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46-3CCB-476F-95B8-640E14A88A15}"/>
                    </c:ext>
                  </c:extLst>
                </c:dPt>
                <c:dPt>
                  <c:idx val="46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48-3CCB-476F-95B8-640E14A88A15}"/>
                    </c:ext>
                  </c:extLst>
                </c:dPt>
                <c:dPt>
                  <c:idx val="46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4A-3CCB-476F-95B8-640E14A88A15}"/>
                    </c:ext>
                  </c:extLst>
                </c:dPt>
                <c:dPt>
                  <c:idx val="46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4C-3CCB-476F-95B8-640E14A88A15}"/>
                    </c:ext>
                  </c:extLst>
                </c:dPt>
                <c:dPt>
                  <c:idx val="46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4E-3CCB-476F-95B8-640E14A88A15}"/>
                    </c:ext>
                  </c:extLst>
                </c:dPt>
                <c:dPt>
                  <c:idx val="46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50-3CCB-476F-95B8-640E14A88A15}"/>
                    </c:ext>
                  </c:extLst>
                </c:dPt>
                <c:dPt>
                  <c:idx val="46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52-3CCB-476F-95B8-640E14A88A15}"/>
                    </c:ext>
                  </c:extLst>
                </c:dPt>
                <c:dPt>
                  <c:idx val="46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54-3CCB-476F-95B8-640E14A88A15}"/>
                    </c:ext>
                  </c:extLst>
                </c:dPt>
                <c:dPt>
                  <c:idx val="46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56-3CCB-476F-95B8-640E14A88A15}"/>
                    </c:ext>
                  </c:extLst>
                </c:dPt>
                <c:dPt>
                  <c:idx val="46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58-3CCB-476F-95B8-640E14A88A15}"/>
                    </c:ext>
                  </c:extLst>
                </c:dPt>
                <c:dPt>
                  <c:idx val="47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5A-3CCB-476F-95B8-640E14A88A15}"/>
                    </c:ext>
                  </c:extLst>
                </c:dPt>
                <c:dPt>
                  <c:idx val="47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5C-3CCB-476F-95B8-640E14A88A15}"/>
                    </c:ext>
                  </c:extLst>
                </c:dPt>
                <c:dPt>
                  <c:idx val="47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5E-3CCB-476F-95B8-640E14A88A15}"/>
                    </c:ext>
                  </c:extLst>
                </c:dPt>
                <c:dPt>
                  <c:idx val="47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60-3CCB-476F-95B8-640E14A88A15}"/>
                    </c:ext>
                  </c:extLst>
                </c:dPt>
                <c:dPt>
                  <c:idx val="47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62-3CCB-476F-95B8-640E14A88A15}"/>
                    </c:ext>
                  </c:extLst>
                </c:dPt>
                <c:dPt>
                  <c:idx val="47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64-3CCB-476F-95B8-640E14A88A15}"/>
                    </c:ext>
                  </c:extLst>
                </c:dPt>
                <c:dPt>
                  <c:idx val="47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66-3CCB-476F-95B8-640E14A88A15}"/>
                    </c:ext>
                  </c:extLst>
                </c:dPt>
                <c:dPt>
                  <c:idx val="47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68-3CCB-476F-95B8-640E14A88A15}"/>
                    </c:ext>
                  </c:extLst>
                </c:dPt>
                <c:dPt>
                  <c:idx val="47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6A-3CCB-476F-95B8-640E14A88A15}"/>
                    </c:ext>
                  </c:extLst>
                </c:dPt>
                <c:dPt>
                  <c:idx val="47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6C-3CCB-476F-95B8-640E14A88A15}"/>
                    </c:ext>
                  </c:extLst>
                </c:dPt>
                <c:dPt>
                  <c:idx val="48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6E-3CCB-476F-95B8-640E14A88A15}"/>
                    </c:ext>
                  </c:extLst>
                </c:dPt>
                <c:dPt>
                  <c:idx val="48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70-3CCB-476F-95B8-640E14A88A15}"/>
                    </c:ext>
                  </c:extLst>
                </c:dPt>
                <c:dPt>
                  <c:idx val="48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72-3CCB-476F-95B8-640E14A88A15}"/>
                    </c:ext>
                  </c:extLst>
                </c:dPt>
                <c:dPt>
                  <c:idx val="48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74-3CCB-476F-95B8-640E14A88A15}"/>
                    </c:ext>
                  </c:extLst>
                </c:dPt>
                <c:dPt>
                  <c:idx val="48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76-3CCB-476F-95B8-640E14A88A15}"/>
                    </c:ext>
                  </c:extLst>
                </c:dPt>
                <c:dPt>
                  <c:idx val="48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78-3CCB-476F-95B8-640E14A88A15}"/>
                    </c:ext>
                  </c:extLst>
                </c:dPt>
                <c:dPt>
                  <c:idx val="48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7A-3CCB-476F-95B8-640E14A88A15}"/>
                    </c:ext>
                  </c:extLst>
                </c:dPt>
                <c:dPt>
                  <c:idx val="48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7C-3CCB-476F-95B8-640E14A88A15}"/>
                    </c:ext>
                  </c:extLst>
                </c:dPt>
                <c:dPt>
                  <c:idx val="48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7E-3CCB-476F-95B8-640E14A88A15}"/>
                    </c:ext>
                  </c:extLst>
                </c:dPt>
                <c:dPt>
                  <c:idx val="48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80-3CCB-476F-95B8-640E14A88A15}"/>
                    </c:ext>
                  </c:extLst>
                </c:dPt>
                <c:dPt>
                  <c:idx val="49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82-3CCB-476F-95B8-640E14A88A15}"/>
                    </c:ext>
                  </c:extLst>
                </c:dPt>
                <c:dPt>
                  <c:idx val="49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84-3CCB-476F-95B8-640E14A88A15}"/>
                    </c:ext>
                  </c:extLst>
                </c:dPt>
                <c:dPt>
                  <c:idx val="49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86-3CCB-476F-95B8-640E14A88A15}"/>
                    </c:ext>
                  </c:extLst>
                </c:dPt>
                <c:dPt>
                  <c:idx val="49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88-3CCB-476F-95B8-640E14A88A15}"/>
                    </c:ext>
                  </c:extLst>
                </c:dPt>
                <c:dPt>
                  <c:idx val="49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8A-3CCB-476F-95B8-640E14A88A15}"/>
                    </c:ext>
                  </c:extLst>
                </c:dPt>
                <c:dPt>
                  <c:idx val="49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8C-3CCB-476F-95B8-640E14A88A15}"/>
                    </c:ext>
                  </c:extLst>
                </c:dPt>
                <c:dPt>
                  <c:idx val="49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8E-3CCB-476F-95B8-640E14A88A15}"/>
                    </c:ext>
                  </c:extLst>
                </c:dPt>
                <c:dPt>
                  <c:idx val="49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90-3CCB-476F-95B8-640E14A88A15}"/>
                    </c:ext>
                  </c:extLst>
                </c:dPt>
                <c:dPt>
                  <c:idx val="49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92-3CCB-476F-95B8-640E14A88A15}"/>
                    </c:ext>
                  </c:extLst>
                </c:dPt>
                <c:dPt>
                  <c:idx val="49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94-3CCB-476F-95B8-640E14A88A15}"/>
                    </c:ext>
                  </c:extLst>
                </c:dPt>
                <c:dPt>
                  <c:idx val="50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96-3CCB-476F-95B8-640E14A88A15}"/>
                    </c:ext>
                  </c:extLst>
                </c:dPt>
                <c:dPt>
                  <c:idx val="50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98-3CCB-476F-95B8-640E14A88A15}"/>
                    </c:ext>
                  </c:extLst>
                </c:dPt>
                <c:dPt>
                  <c:idx val="50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9A-3CCB-476F-95B8-640E14A88A15}"/>
                    </c:ext>
                  </c:extLst>
                </c:dPt>
                <c:dPt>
                  <c:idx val="50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9C-3CCB-476F-95B8-640E14A88A15}"/>
                    </c:ext>
                  </c:extLst>
                </c:dPt>
                <c:dPt>
                  <c:idx val="50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9E-3CCB-476F-95B8-640E14A88A15}"/>
                    </c:ext>
                  </c:extLst>
                </c:dPt>
                <c:dPt>
                  <c:idx val="50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A0-3CCB-476F-95B8-640E14A88A15}"/>
                    </c:ext>
                  </c:extLst>
                </c:dPt>
                <c:dPt>
                  <c:idx val="50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A2-3CCB-476F-95B8-640E14A88A15}"/>
                    </c:ext>
                  </c:extLst>
                </c:dPt>
                <c:dPt>
                  <c:idx val="50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A4-3CCB-476F-95B8-640E14A88A15}"/>
                    </c:ext>
                  </c:extLst>
                </c:dPt>
                <c:dPt>
                  <c:idx val="50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A6-3CCB-476F-95B8-640E14A88A15}"/>
                    </c:ext>
                  </c:extLst>
                </c:dPt>
                <c:dPt>
                  <c:idx val="50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A8-3CCB-476F-95B8-640E14A88A15}"/>
                    </c:ext>
                  </c:extLst>
                </c:dPt>
                <c:dPt>
                  <c:idx val="51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AA-3CCB-476F-95B8-640E14A88A15}"/>
                    </c:ext>
                  </c:extLst>
                </c:dPt>
                <c:dPt>
                  <c:idx val="51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AC-3CCB-476F-95B8-640E14A88A15}"/>
                    </c:ext>
                  </c:extLst>
                </c:dPt>
                <c:dPt>
                  <c:idx val="51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AE-3CCB-476F-95B8-640E14A88A15}"/>
                    </c:ext>
                  </c:extLst>
                </c:dPt>
                <c:dPt>
                  <c:idx val="51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B0-3CCB-476F-95B8-640E14A88A15}"/>
                    </c:ext>
                  </c:extLst>
                </c:dPt>
                <c:dPt>
                  <c:idx val="51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B2-3CCB-476F-95B8-640E14A88A15}"/>
                    </c:ext>
                  </c:extLst>
                </c:dPt>
                <c:dPt>
                  <c:idx val="51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B4-3CCB-476F-95B8-640E14A88A15}"/>
                    </c:ext>
                  </c:extLst>
                </c:dPt>
                <c:dPt>
                  <c:idx val="51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B6-3CCB-476F-95B8-640E14A88A15}"/>
                    </c:ext>
                  </c:extLst>
                </c:dPt>
                <c:dPt>
                  <c:idx val="51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B8-3CCB-476F-95B8-640E14A88A15}"/>
                    </c:ext>
                  </c:extLst>
                </c:dPt>
                <c:dPt>
                  <c:idx val="51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BA-3CCB-476F-95B8-640E14A88A15}"/>
                    </c:ext>
                  </c:extLst>
                </c:dPt>
                <c:dPt>
                  <c:idx val="51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BC-3CCB-476F-95B8-640E14A88A15}"/>
                    </c:ext>
                  </c:extLst>
                </c:dPt>
                <c:dPt>
                  <c:idx val="52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BE-3CCB-476F-95B8-640E14A88A15}"/>
                    </c:ext>
                  </c:extLst>
                </c:dPt>
                <c:dPt>
                  <c:idx val="52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C0-3CCB-476F-95B8-640E14A88A15}"/>
                    </c:ext>
                  </c:extLst>
                </c:dPt>
                <c:dPt>
                  <c:idx val="52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C2-3CCB-476F-95B8-640E14A88A15}"/>
                    </c:ext>
                  </c:extLst>
                </c:dPt>
                <c:dPt>
                  <c:idx val="52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C4-3CCB-476F-95B8-640E14A88A15}"/>
                    </c:ext>
                  </c:extLst>
                </c:dPt>
                <c:dPt>
                  <c:idx val="52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C6-3CCB-476F-95B8-640E14A88A15}"/>
                    </c:ext>
                  </c:extLst>
                </c:dPt>
                <c:dPt>
                  <c:idx val="52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C8-3CCB-476F-95B8-640E14A88A15}"/>
                    </c:ext>
                  </c:extLst>
                </c:dPt>
                <c:dPt>
                  <c:idx val="52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CA-3CCB-476F-95B8-640E14A88A15}"/>
                    </c:ext>
                  </c:extLst>
                </c:dPt>
                <c:dPt>
                  <c:idx val="52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CC-3CCB-476F-95B8-640E14A88A15}"/>
                    </c:ext>
                  </c:extLst>
                </c:dPt>
                <c:dPt>
                  <c:idx val="52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CE-3CCB-476F-95B8-640E14A88A15}"/>
                    </c:ext>
                  </c:extLst>
                </c:dPt>
                <c:dPt>
                  <c:idx val="52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D0-3CCB-476F-95B8-640E14A88A15}"/>
                    </c:ext>
                  </c:extLst>
                </c:dPt>
                <c:dPt>
                  <c:idx val="53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D2-3CCB-476F-95B8-640E14A88A15}"/>
                    </c:ext>
                  </c:extLst>
                </c:dPt>
                <c:dPt>
                  <c:idx val="53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D4-3CCB-476F-95B8-640E14A88A15}"/>
                    </c:ext>
                  </c:extLst>
                </c:dPt>
                <c:dPt>
                  <c:idx val="53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D6-3CCB-476F-95B8-640E14A88A15}"/>
                    </c:ext>
                  </c:extLst>
                </c:dPt>
                <c:dPt>
                  <c:idx val="53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D8-3CCB-476F-95B8-640E14A88A15}"/>
                    </c:ext>
                  </c:extLst>
                </c:dPt>
                <c:dPt>
                  <c:idx val="53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DA-3CCB-476F-95B8-640E14A88A15}"/>
                    </c:ext>
                  </c:extLst>
                </c:dPt>
                <c:dPt>
                  <c:idx val="53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DC-3CCB-476F-95B8-640E14A88A15}"/>
                    </c:ext>
                  </c:extLst>
                </c:dPt>
                <c:dPt>
                  <c:idx val="53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DE-3CCB-476F-95B8-640E14A88A15}"/>
                    </c:ext>
                  </c:extLst>
                </c:dPt>
                <c:dPt>
                  <c:idx val="53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E0-3CCB-476F-95B8-640E14A88A15}"/>
                    </c:ext>
                  </c:extLst>
                </c:dPt>
                <c:dPt>
                  <c:idx val="53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E2-3CCB-476F-95B8-640E14A88A15}"/>
                    </c:ext>
                  </c:extLst>
                </c:dPt>
                <c:dPt>
                  <c:idx val="53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E4-3CCB-476F-95B8-640E14A88A15}"/>
                    </c:ext>
                  </c:extLst>
                </c:dPt>
                <c:dPt>
                  <c:idx val="54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E6-3CCB-476F-95B8-640E14A88A15}"/>
                    </c:ext>
                  </c:extLst>
                </c:dPt>
                <c:dPt>
                  <c:idx val="54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E8-3CCB-476F-95B8-640E14A88A15}"/>
                    </c:ext>
                  </c:extLst>
                </c:dPt>
                <c:dPt>
                  <c:idx val="54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EA-3CCB-476F-95B8-640E14A88A15}"/>
                    </c:ext>
                  </c:extLst>
                </c:dPt>
                <c:dPt>
                  <c:idx val="54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EC-3CCB-476F-95B8-640E14A88A15}"/>
                    </c:ext>
                  </c:extLst>
                </c:dPt>
                <c:dPt>
                  <c:idx val="54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EE-3CCB-476F-95B8-640E14A88A15}"/>
                    </c:ext>
                  </c:extLst>
                </c:dPt>
                <c:dPt>
                  <c:idx val="54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F0-3CCB-476F-95B8-640E14A88A15}"/>
                    </c:ext>
                  </c:extLst>
                </c:dPt>
                <c:dPt>
                  <c:idx val="54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F2-3CCB-476F-95B8-640E14A88A15}"/>
                    </c:ext>
                  </c:extLst>
                </c:dPt>
                <c:dPt>
                  <c:idx val="54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F4-3CCB-476F-95B8-640E14A88A15}"/>
                    </c:ext>
                  </c:extLst>
                </c:dPt>
                <c:dPt>
                  <c:idx val="54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F6-3CCB-476F-95B8-640E14A88A15}"/>
                    </c:ext>
                  </c:extLst>
                </c:dPt>
                <c:dPt>
                  <c:idx val="54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F8-3CCB-476F-95B8-640E14A88A15}"/>
                    </c:ext>
                  </c:extLst>
                </c:dPt>
                <c:dPt>
                  <c:idx val="55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FA-3CCB-476F-95B8-640E14A88A15}"/>
                    </c:ext>
                  </c:extLst>
                </c:dPt>
                <c:dPt>
                  <c:idx val="55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FC-3CCB-476F-95B8-640E14A88A15}"/>
                    </c:ext>
                  </c:extLst>
                </c:dPt>
                <c:dPt>
                  <c:idx val="55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FE-3CCB-476F-95B8-640E14A88A15}"/>
                    </c:ext>
                  </c:extLst>
                </c:dPt>
                <c:dPt>
                  <c:idx val="55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00-3CCB-476F-95B8-640E14A88A15}"/>
                    </c:ext>
                  </c:extLst>
                </c:dPt>
                <c:dPt>
                  <c:idx val="55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02-3CCB-476F-95B8-640E14A88A15}"/>
                    </c:ext>
                  </c:extLst>
                </c:dPt>
                <c:dPt>
                  <c:idx val="55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04-3CCB-476F-95B8-640E14A88A15}"/>
                    </c:ext>
                  </c:extLst>
                </c:dPt>
                <c:dPt>
                  <c:idx val="55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06-3CCB-476F-95B8-640E14A88A15}"/>
                    </c:ext>
                  </c:extLst>
                </c:dPt>
                <c:dPt>
                  <c:idx val="55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08-3CCB-476F-95B8-640E14A88A15}"/>
                    </c:ext>
                  </c:extLst>
                </c:dPt>
                <c:dPt>
                  <c:idx val="55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0A-3CCB-476F-95B8-640E14A88A15}"/>
                    </c:ext>
                  </c:extLst>
                </c:dPt>
                <c:dPt>
                  <c:idx val="55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0C-3CCB-476F-95B8-640E14A88A15}"/>
                    </c:ext>
                  </c:extLst>
                </c:dPt>
                <c:dPt>
                  <c:idx val="56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0E-3CCB-476F-95B8-640E14A88A15}"/>
                    </c:ext>
                  </c:extLst>
                </c:dPt>
                <c:dPt>
                  <c:idx val="56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10-3CCB-476F-95B8-640E14A88A15}"/>
                    </c:ext>
                  </c:extLst>
                </c:dPt>
                <c:dPt>
                  <c:idx val="56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12-3CCB-476F-95B8-640E14A88A15}"/>
                    </c:ext>
                  </c:extLst>
                </c:dPt>
                <c:dPt>
                  <c:idx val="56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14-3CCB-476F-95B8-640E14A88A15}"/>
                    </c:ext>
                  </c:extLst>
                </c:dPt>
                <c:dPt>
                  <c:idx val="56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16-3CCB-476F-95B8-640E14A88A15}"/>
                    </c:ext>
                  </c:extLst>
                </c:dPt>
                <c:dPt>
                  <c:idx val="56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18-3CCB-476F-95B8-640E14A88A15}"/>
                    </c:ext>
                  </c:extLst>
                </c:dPt>
                <c:dPt>
                  <c:idx val="56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1A-3CCB-476F-95B8-640E14A88A15}"/>
                    </c:ext>
                  </c:extLst>
                </c:dPt>
                <c:dPt>
                  <c:idx val="56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1C-3CCB-476F-95B8-640E14A88A15}"/>
                    </c:ext>
                  </c:extLst>
                </c:dPt>
                <c:dPt>
                  <c:idx val="56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1E-3CCB-476F-95B8-640E14A88A15}"/>
                    </c:ext>
                  </c:extLst>
                </c:dPt>
                <c:dPt>
                  <c:idx val="56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20-3CCB-476F-95B8-640E14A88A15}"/>
                    </c:ext>
                  </c:extLst>
                </c:dPt>
                <c:dPt>
                  <c:idx val="57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22-3CCB-476F-95B8-640E14A88A15}"/>
                    </c:ext>
                  </c:extLst>
                </c:dPt>
                <c:dPt>
                  <c:idx val="57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24-3CCB-476F-95B8-640E14A88A15}"/>
                    </c:ext>
                  </c:extLst>
                </c:dPt>
                <c:dPt>
                  <c:idx val="57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26-3CCB-476F-95B8-640E14A88A15}"/>
                    </c:ext>
                  </c:extLst>
                </c:dPt>
                <c:dPt>
                  <c:idx val="57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28-3CCB-476F-95B8-640E14A88A15}"/>
                    </c:ext>
                  </c:extLst>
                </c:dPt>
                <c:dPt>
                  <c:idx val="57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2A-3CCB-476F-95B8-640E14A88A15}"/>
                    </c:ext>
                  </c:extLst>
                </c:dPt>
                <c:dPt>
                  <c:idx val="57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2C-3CCB-476F-95B8-640E14A88A15}"/>
                    </c:ext>
                  </c:extLst>
                </c:dPt>
                <c:dPt>
                  <c:idx val="57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2E-3CCB-476F-95B8-640E14A88A15}"/>
                    </c:ext>
                  </c:extLst>
                </c:dPt>
                <c:dPt>
                  <c:idx val="57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30-3CCB-476F-95B8-640E14A88A15}"/>
                    </c:ext>
                  </c:extLst>
                </c:dPt>
                <c:dPt>
                  <c:idx val="57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32-3CCB-476F-95B8-640E14A88A15}"/>
                    </c:ext>
                  </c:extLst>
                </c:dPt>
                <c:dPt>
                  <c:idx val="57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34-3CCB-476F-95B8-640E14A88A15}"/>
                    </c:ext>
                  </c:extLst>
                </c:dPt>
                <c:dPt>
                  <c:idx val="58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36-3CCB-476F-95B8-640E14A88A15}"/>
                    </c:ext>
                  </c:extLst>
                </c:dPt>
                <c:dPt>
                  <c:idx val="58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38-3CCB-476F-95B8-640E14A88A15}"/>
                    </c:ext>
                  </c:extLst>
                </c:dPt>
                <c:dPt>
                  <c:idx val="58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3A-3CCB-476F-95B8-640E14A88A15}"/>
                    </c:ext>
                  </c:extLst>
                </c:dPt>
                <c:dPt>
                  <c:idx val="58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3C-3CCB-476F-95B8-640E14A88A15}"/>
                    </c:ext>
                  </c:extLst>
                </c:dPt>
                <c:dPt>
                  <c:idx val="58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3E-3CCB-476F-95B8-640E14A88A15}"/>
                    </c:ext>
                  </c:extLst>
                </c:dPt>
                <c:dPt>
                  <c:idx val="58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40-3CCB-476F-95B8-640E14A88A15}"/>
                    </c:ext>
                  </c:extLst>
                </c:dPt>
                <c:dPt>
                  <c:idx val="58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42-3CCB-476F-95B8-640E14A88A15}"/>
                    </c:ext>
                  </c:extLst>
                </c:dPt>
                <c:dPt>
                  <c:idx val="58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44-3CCB-476F-95B8-640E14A88A15}"/>
                    </c:ext>
                  </c:extLst>
                </c:dPt>
                <c:dPt>
                  <c:idx val="58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46-3CCB-476F-95B8-640E14A88A15}"/>
                    </c:ext>
                  </c:extLst>
                </c:dPt>
                <c:dPt>
                  <c:idx val="58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48-3CCB-476F-95B8-640E14A88A15}"/>
                    </c:ext>
                  </c:extLst>
                </c:dPt>
                <c:dPt>
                  <c:idx val="59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4A-3CCB-476F-95B8-640E14A88A15}"/>
                    </c:ext>
                  </c:extLst>
                </c:dPt>
                <c:dPt>
                  <c:idx val="59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4C-3CCB-476F-95B8-640E14A88A15}"/>
                    </c:ext>
                  </c:extLst>
                </c:dPt>
                <c:dPt>
                  <c:idx val="59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4E-3CCB-476F-95B8-640E14A88A15}"/>
                    </c:ext>
                  </c:extLst>
                </c:dPt>
                <c:dPt>
                  <c:idx val="59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50-3CCB-476F-95B8-640E14A88A15}"/>
                    </c:ext>
                  </c:extLst>
                </c:dPt>
                <c:dPt>
                  <c:idx val="59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52-3CCB-476F-95B8-640E14A88A15}"/>
                    </c:ext>
                  </c:extLst>
                </c:dPt>
                <c:dPt>
                  <c:idx val="59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54-3CCB-476F-95B8-640E14A88A15}"/>
                    </c:ext>
                  </c:extLst>
                </c:dPt>
                <c:dPt>
                  <c:idx val="59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56-3CCB-476F-95B8-640E14A88A15}"/>
                    </c:ext>
                  </c:extLst>
                </c:dPt>
                <c:dPt>
                  <c:idx val="59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58-3CCB-476F-95B8-640E14A88A15}"/>
                    </c:ext>
                  </c:extLst>
                </c:dPt>
                <c:dPt>
                  <c:idx val="59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5A-3CCB-476F-95B8-640E14A88A15}"/>
                    </c:ext>
                  </c:extLst>
                </c:dPt>
                <c:dPt>
                  <c:idx val="59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5C-3CCB-476F-95B8-640E14A88A15}"/>
                    </c:ext>
                  </c:extLst>
                </c:dPt>
                <c:dPt>
                  <c:idx val="60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5E-3CCB-476F-95B8-640E14A88A15}"/>
                    </c:ext>
                  </c:extLst>
                </c:dPt>
                <c:dPt>
                  <c:idx val="60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60-3CCB-476F-95B8-640E14A88A15}"/>
                    </c:ext>
                  </c:extLst>
                </c:dPt>
                <c:dPt>
                  <c:idx val="60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62-3CCB-476F-95B8-640E14A88A15}"/>
                    </c:ext>
                  </c:extLst>
                </c:dPt>
                <c:dPt>
                  <c:idx val="60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64-3CCB-476F-95B8-640E14A88A15}"/>
                    </c:ext>
                  </c:extLst>
                </c:dPt>
                <c:dPt>
                  <c:idx val="60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66-3CCB-476F-95B8-640E14A88A15}"/>
                    </c:ext>
                  </c:extLst>
                </c:dPt>
                <c:dPt>
                  <c:idx val="60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68-3CCB-476F-95B8-640E14A88A15}"/>
                    </c:ext>
                  </c:extLst>
                </c:dPt>
                <c:dPt>
                  <c:idx val="60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6A-3CCB-476F-95B8-640E14A88A15}"/>
                    </c:ext>
                  </c:extLst>
                </c:dPt>
                <c:dPt>
                  <c:idx val="60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6C-3CCB-476F-95B8-640E14A88A15}"/>
                    </c:ext>
                  </c:extLst>
                </c:dPt>
                <c:dPt>
                  <c:idx val="60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6E-3CCB-476F-95B8-640E14A88A15}"/>
                    </c:ext>
                  </c:extLst>
                </c:dPt>
                <c:dPt>
                  <c:idx val="60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70-3CCB-476F-95B8-640E14A88A15}"/>
                    </c:ext>
                  </c:extLst>
                </c:dPt>
                <c:dPt>
                  <c:idx val="61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72-3CCB-476F-95B8-640E14A88A15}"/>
                    </c:ext>
                  </c:extLst>
                </c:dPt>
                <c:dPt>
                  <c:idx val="61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74-3CCB-476F-95B8-640E14A88A15}"/>
                    </c:ext>
                  </c:extLst>
                </c:dPt>
                <c:dPt>
                  <c:idx val="61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76-3CCB-476F-95B8-640E14A88A15}"/>
                    </c:ext>
                  </c:extLst>
                </c:dPt>
                <c:dPt>
                  <c:idx val="61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78-3CCB-476F-95B8-640E14A88A15}"/>
                    </c:ext>
                  </c:extLst>
                </c:dPt>
                <c:dPt>
                  <c:idx val="61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7A-3CCB-476F-95B8-640E14A88A15}"/>
                    </c:ext>
                  </c:extLst>
                </c:dPt>
                <c:dPt>
                  <c:idx val="61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7C-3CCB-476F-95B8-640E14A88A15}"/>
                    </c:ext>
                  </c:extLst>
                </c:dPt>
                <c:dPt>
                  <c:idx val="61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7E-3CCB-476F-95B8-640E14A88A15}"/>
                    </c:ext>
                  </c:extLst>
                </c:dPt>
                <c:dPt>
                  <c:idx val="61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80-3CCB-476F-95B8-640E14A88A15}"/>
                    </c:ext>
                  </c:extLst>
                </c:dPt>
                <c:dPt>
                  <c:idx val="61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82-3CCB-476F-95B8-640E14A88A15}"/>
                    </c:ext>
                  </c:extLst>
                </c:dPt>
                <c:dPt>
                  <c:idx val="61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84-3CCB-476F-95B8-640E14A88A15}"/>
                    </c:ext>
                  </c:extLst>
                </c:dPt>
                <c:dPt>
                  <c:idx val="62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86-3CCB-476F-95B8-640E14A88A15}"/>
                    </c:ext>
                  </c:extLst>
                </c:dPt>
                <c:dPt>
                  <c:idx val="62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88-3CCB-476F-95B8-640E14A88A15}"/>
                    </c:ext>
                  </c:extLst>
                </c:dPt>
                <c:dPt>
                  <c:idx val="62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8A-3CCB-476F-95B8-640E14A88A15}"/>
                    </c:ext>
                  </c:extLst>
                </c:dPt>
                <c:dPt>
                  <c:idx val="62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8C-3CCB-476F-95B8-640E14A88A15}"/>
                    </c:ext>
                  </c:extLst>
                </c:dPt>
                <c:dPt>
                  <c:idx val="62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8E-3CCB-476F-95B8-640E14A88A15}"/>
                    </c:ext>
                  </c:extLst>
                </c:dPt>
                <c:dPt>
                  <c:idx val="62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90-3CCB-476F-95B8-640E14A88A15}"/>
                    </c:ext>
                  </c:extLst>
                </c:dPt>
                <c:dPt>
                  <c:idx val="62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92-3CCB-476F-95B8-640E14A88A15}"/>
                    </c:ext>
                  </c:extLst>
                </c:dPt>
                <c:dPt>
                  <c:idx val="62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94-3CCB-476F-95B8-640E14A88A15}"/>
                    </c:ext>
                  </c:extLst>
                </c:dPt>
                <c:dPt>
                  <c:idx val="62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96-3CCB-476F-95B8-640E14A88A15}"/>
                    </c:ext>
                  </c:extLst>
                </c:dPt>
                <c:dPt>
                  <c:idx val="62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98-3CCB-476F-95B8-640E14A88A15}"/>
                    </c:ext>
                  </c:extLst>
                </c:dPt>
                <c:dPt>
                  <c:idx val="63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9A-3CCB-476F-95B8-640E14A88A15}"/>
                    </c:ext>
                  </c:extLst>
                </c:dPt>
                <c:dPt>
                  <c:idx val="63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9C-3CCB-476F-95B8-640E14A88A15}"/>
                    </c:ext>
                  </c:extLst>
                </c:dPt>
                <c:dPt>
                  <c:idx val="63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9E-3CCB-476F-95B8-640E14A88A15}"/>
                    </c:ext>
                  </c:extLst>
                </c:dPt>
                <c:dPt>
                  <c:idx val="63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A0-3CCB-476F-95B8-640E14A88A15}"/>
                    </c:ext>
                  </c:extLst>
                </c:dPt>
                <c:dPt>
                  <c:idx val="63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A2-3CCB-476F-95B8-640E14A88A15}"/>
                    </c:ext>
                  </c:extLst>
                </c:dPt>
                <c:dPt>
                  <c:idx val="63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A4-3CCB-476F-95B8-640E14A88A15}"/>
                    </c:ext>
                  </c:extLst>
                </c:dPt>
                <c:dPt>
                  <c:idx val="63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A6-3CCB-476F-95B8-640E14A88A15}"/>
                    </c:ext>
                  </c:extLst>
                </c:dPt>
                <c:dPt>
                  <c:idx val="63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A8-3CCB-476F-95B8-640E14A88A15}"/>
                    </c:ext>
                  </c:extLst>
                </c:dPt>
                <c:dPt>
                  <c:idx val="63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AA-3CCB-476F-95B8-640E14A88A15}"/>
                    </c:ext>
                  </c:extLst>
                </c:dPt>
                <c:dPt>
                  <c:idx val="63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AC-3CCB-476F-95B8-640E14A88A15}"/>
                    </c:ext>
                  </c:extLst>
                </c:dPt>
                <c:dPt>
                  <c:idx val="64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AE-3CCB-476F-95B8-640E14A88A15}"/>
                    </c:ext>
                  </c:extLst>
                </c:dPt>
                <c:dPt>
                  <c:idx val="64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B0-3CCB-476F-95B8-640E14A88A15}"/>
                    </c:ext>
                  </c:extLst>
                </c:dPt>
                <c:dPt>
                  <c:idx val="64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B2-3CCB-476F-95B8-640E14A88A15}"/>
                    </c:ext>
                  </c:extLst>
                </c:dPt>
                <c:dPt>
                  <c:idx val="64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B4-3CCB-476F-95B8-640E14A88A15}"/>
                    </c:ext>
                  </c:extLst>
                </c:dPt>
                <c:dPt>
                  <c:idx val="64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B6-3CCB-476F-95B8-640E14A88A15}"/>
                    </c:ext>
                  </c:extLst>
                </c:dPt>
                <c:dPt>
                  <c:idx val="64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B8-3CCB-476F-95B8-640E14A88A15}"/>
                    </c:ext>
                  </c:extLst>
                </c:dPt>
                <c:dPt>
                  <c:idx val="64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BA-3CCB-476F-95B8-640E14A88A15}"/>
                    </c:ext>
                  </c:extLst>
                </c:dPt>
                <c:dPt>
                  <c:idx val="64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BC-3CCB-476F-95B8-640E14A88A15}"/>
                    </c:ext>
                  </c:extLst>
                </c:dPt>
                <c:dPt>
                  <c:idx val="64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BE-3CCB-476F-95B8-640E14A88A15}"/>
                    </c:ext>
                  </c:extLst>
                </c:dPt>
                <c:dPt>
                  <c:idx val="64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C0-3CCB-476F-95B8-640E14A88A15}"/>
                    </c:ext>
                  </c:extLst>
                </c:dPt>
                <c:dPt>
                  <c:idx val="65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C2-3CCB-476F-95B8-640E14A88A15}"/>
                    </c:ext>
                  </c:extLst>
                </c:dPt>
                <c:dPt>
                  <c:idx val="65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C4-3CCB-476F-95B8-640E14A88A15}"/>
                    </c:ext>
                  </c:extLst>
                </c:dPt>
                <c:dPt>
                  <c:idx val="65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C6-3CCB-476F-95B8-640E14A88A15}"/>
                    </c:ext>
                  </c:extLst>
                </c:dPt>
                <c:dPt>
                  <c:idx val="65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C8-3CCB-476F-95B8-640E14A88A15}"/>
                    </c:ext>
                  </c:extLst>
                </c:dPt>
                <c:dPt>
                  <c:idx val="65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CA-3CCB-476F-95B8-640E14A88A15}"/>
                    </c:ext>
                  </c:extLst>
                </c:dPt>
                <c:dPt>
                  <c:idx val="65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CC-3CCB-476F-95B8-640E14A88A15}"/>
                    </c:ext>
                  </c:extLst>
                </c:dPt>
                <c:dPt>
                  <c:idx val="65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CE-3CCB-476F-95B8-640E14A88A15}"/>
                    </c:ext>
                  </c:extLst>
                </c:dPt>
                <c:dPt>
                  <c:idx val="65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D0-3CCB-476F-95B8-640E14A88A15}"/>
                    </c:ext>
                  </c:extLst>
                </c:dPt>
                <c:dPt>
                  <c:idx val="65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D2-3CCB-476F-95B8-640E14A88A15}"/>
                    </c:ext>
                  </c:extLst>
                </c:dPt>
                <c:dPt>
                  <c:idx val="65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D4-3CCB-476F-95B8-640E14A88A15}"/>
                    </c:ext>
                  </c:extLst>
                </c:dPt>
                <c:dPt>
                  <c:idx val="66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D6-3CCB-476F-95B8-640E14A88A15}"/>
                    </c:ext>
                  </c:extLst>
                </c:dPt>
                <c:dPt>
                  <c:idx val="66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D8-3CCB-476F-95B8-640E14A88A15}"/>
                    </c:ext>
                  </c:extLst>
                </c:dPt>
                <c:dPt>
                  <c:idx val="66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DA-3CCB-476F-95B8-640E14A88A15}"/>
                    </c:ext>
                  </c:extLst>
                </c:dPt>
                <c:dPt>
                  <c:idx val="66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DC-3CCB-476F-95B8-640E14A88A15}"/>
                    </c:ext>
                  </c:extLst>
                </c:dPt>
                <c:dPt>
                  <c:idx val="66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DE-3CCB-476F-95B8-640E14A88A15}"/>
                    </c:ext>
                  </c:extLst>
                </c:dPt>
                <c:dPt>
                  <c:idx val="66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E0-3CCB-476F-95B8-640E14A88A15}"/>
                    </c:ext>
                  </c:extLst>
                </c:dPt>
                <c:dPt>
                  <c:idx val="66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E2-3CCB-476F-95B8-640E14A88A15}"/>
                    </c:ext>
                  </c:extLst>
                </c:dPt>
                <c:dPt>
                  <c:idx val="66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E4-3CCB-476F-95B8-640E14A88A15}"/>
                    </c:ext>
                  </c:extLst>
                </c:dPt>
                <c:dPt>
                  <c:idx val="66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E6-3CCB-476F-95B8-640E14A88A15}"/>
                    </c:ext>
                  </c:extLst>
                </c:dPt>
                <c:dPt>
                  <c:idx val="66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E8-3CCB-476F-95B8-640E14A88A15}"/>
                    </c:ext>
                  </c:extLst>
                </c:dPt>
                <c:dPt>
                  <c:idx val="67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EA-3CCB-476F-95B8-640E14A88A15}"/>
                    </c:ext>
                  </c:extLst>
                </c:dPt>
                <c:dPt>
                  <c:idx val="67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EC-3CCB-476F-95B8-640E14A88A15}"/>
                    </c:ext>
                  </c:extLst>
                </c:dPt>
                <c:dPt>
                  <c:idx val="67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EE-3CCB-476F-95B8-640E14A88A15}"/>
                    </c:ext>
                  </c:extLst>
                </c:dPt>
                <c:dPt>
                  <c:idx val="67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F0-3CCB-476F-95B8-640E14A88A15}"/>
                    </c:ext>
                  </c:extLst>
                </c:dPt>
                <c:dPt>
                  <c:idx val="67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F2-3CCB-476F-95B8-640E14A88A15}"/>
                    </c:ext>
                  </c:extLst>
                </c:dPt>
                <c:dPt>
                  <c:idx val="67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F4-3CCB-476F-95B8-640E14A88A15}"/>
                    </c:ext>
                  </c:extLst>
                </c:dPt>
                <c:dPt>
                  <c:idx val="67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F6-3CCB-476F-95B8-640E14A88A15}"/>
                    </c:ext>
                  </c:extLst>
                </c:dPt>
                <c:dPt>
                  <c:idx val="67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F8-3CCB-476F-95B8-640E14A88A15}"/>
                    </c:ext>
                  </c:extLst>
                </c:dPt>
                <c:dPt>
                  <c:idx val="67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FA-3CCB-476F-95B8-640E14A88A15}"/>
                    </c:ext>
                  </c:extLst>
                </c:dPt>
                <c:dPt>
                  <c:idx val="67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FC-3CCB-476F-95B8-640E14A88A15}"/>
                    </c:ext>
                  </c:extLst>
                </c:dPt>
                <c:dPt>
                  <c:idx val="68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FE-3CCB-476F-95B8-640E14A88A15}"/>
                    </c:ext>
                  </c:extLst>
                </c:dPt>
                <c:dPt>
                  <c:idx val="68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00-3CCB-476F-95B8-640E14A88A15}"/>
                    </c:ext>
                  </c:extLst>
                </c:dPt>
                <c:dPt>
                  <c:idx val="68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02-3CCB-476F-95B8-640E14A88A15}"/>
                    </c:ext>
                  </c:extLst>
                </c:dPt>
                <c:dPt>
                  <c:idx val="68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04-3CCB-476F-95B8-640E14A88A15}"/>
                    </c:ext>
                  </c:extLst>
                </c:dPt>
                <c:dPt>
                  <c:idx val="68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06-3CCB-476F-95B8-640E14A88A15}"/>
                    </c:ext>
                  </c:extLst>
                </c:dPt>
                <c:dPt>
                  <c:idx val="68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08-3CCB-476F-95B8-640E14A88A15}"/>
                    </c:ext>
                  </c:extLst>
                </c:dPt>
                <c:dPt>
                  <c:idx val="68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0A-3CCB-476F-95B8-640E14A88A15}"/>
                    </c:ext>
                  </c:extLst>
                </c:dPt>
                <c:dPt>
                  <c:idx val="68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0C-3CCB-476F-95B8-640E14A88A15}"/>
                    </c:ext>
                  </c:extLst>
                </c:dPt>
                <c:dPt>
                  <c:idx val="68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0E-3CCB-476F-95B8-640E14A88A15}"/>
                    </c:ext>
                  </c:extLst>
                </c:dPt>
                <c:dPt>
                  <c:idx val="68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10-3CCB-476F-95B8-640E14A88A15}"/>
                    </c:ext>
                  </c:extLst>
                </c:dPt>
                <c:dPt>
                  <c:idx val="69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12-3CCB-476F-95B8-640E14A88A15}"/>
                    </c:ext>
                  </c:extLst>
                </c:dPt>
                <c:dPt>
                  <c:idx val="69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14-3CCB-476F-95B8-640E14A88A15}"/>
                    </c:ext>
                  </c:extLst>
                </c:dPt>
                <c:dPt>
                  <c:idx val="69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16-3CCB-476F-95B8-640E14A88A15}"/>
                    </c:ext>
                  </c:extLst>
                </c:dPt>
                <c:dPt>
                  <c:idx val="69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18-3CCB-476F-95B8-640E14A88A15}"/>
                    </c:ext>
                  </c:extLst>
                </c:dPt>
                <c:dPt>
                  <c:idx val="69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1A-3CCB-476F-95B8-640E14A88A15}"/>
                    </c:ext>
                  </c:extLst>
                </c:dPt>
                <c:dPt>
                  <c:idx val="69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1C-3CCB-476F-95B8-640E14A88A15}"/>
                    </c:ext>
                  </c:extLst>
                </c:dPt>
                <c:dPt>
                  <c:idx val="69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1E-3CCB-476F-95B8-640E14A88A15}"/>
                    </c:ext>
                  </c:extLst>
                </c:dPt>
                <c:dPt>
                  <c:idx val="69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20-3CCB-476F-95B8-640E14A88A15}"/>
                    </c:ext>
                  </c:extLst>
                </c:dPt>
                <c:dPt>
                  <c:idx val="69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22-3CCB-476F-95B8-640E14A88A15}"/>
                    </c:ext>
                  </c:extLst>
                </c:dPt>
                <c:dPt>
                  <c:idx val="69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24-3CCB-476F-95B8-640E14A88A15}"/>
                    </c:ext>
                  </c:extLst>
                </c:dPt>
                <c:dPt>
                  <c:idx val="70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26-3CCB-476F-95B8-640E14A88A15}"/>
                    </c:ext>
                  </c:extLst>
                </c:dPt>
                <c:dPt>
                  <c:idx val="70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28-3CCB-476F-95B8-640E14A88A15}"/>
                    </c:ext>
                  </c:extLst>
                </c:dPt>
                <c:dPt>
                  <c:idx val="70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2A-3CCB-476F-95B8-640E14A88A15}"/>
                    </c:ext>
                  </c:extLst>
                </c:dPt>
                <c:dPt>
                  <c:idx val="70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2C-3CCB-476F-95B8-640E14A88A15}"/>
                    </c:ext>
                  </c:extLst>
                </c:dPt>
                <c:dPt>
                  <c:idx val="70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2E-3CCB-476F-95B8-640E14A88A15}"/>
                    </c:ext>
                  </c:extLst>
                </c:dPt>
                <c:dPt>
                  <c:idx val="70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30-3CCB-476F-95B8-640E14A88A15}"/>
                    </c:ext>
                  </c:extLst>
                </c:dPt>
                <c:dPt>
                  <c:idx val="70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32-3CCB-476F-95B8-640E14A88A15}"/>
                    </c:ext>
                  </c:extLst>
                </c:dPt>
                <c:dPt>
                  <c:idx val="70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34-3CCB-476F-95B8-640E14A88A15}"/>
                    </c:ext>
                  </c:extLst>
                </c:dPt>
                <c:dPt>
                  <c:idx val="70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36-3CCB-476F-95B8-640E14A88A15}"/>
                    </c:ext>
                  </c:extLst>
                </c:dPt>
                <c:dPt>
                  <c:idx val="70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38-3CCB-476F-95B8-640E14A88A15}"/>
                    </c:ext>
                  </c:extLst>
                </c:dPt>
                <c:dPt>
                  <c:idx val="71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3A-3CCB-476F-95B8-640E14A88A15}"/>
                    </c:ext>
                  </c:extLst>
                </c:dPt>
                <c:dPt>
                  <c:idx val="71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3C-3CCB-476F-95B8-640E14A88A15}"/>
                    </c:ext>
                  </c:extLst>
                </c:dPt>
                <c:dPt>
                  <c:idx val="71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3E-3CCB-476F-95B8-640E14A88A15}"/>
                    </c:ext>
                  </c:extLst>
                </c:dPt>
                <c:dPt>
                  <c:idx val="71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40-3CCB-476F-95B8-640E14A88A15}"/>
                    </c:ext>
                  </c:extLst>
                </c:dPt>
                <c:dPt>
                  <c:idx val="71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42-3CCB-476F-95B8-640E14A88A15}"/>
                    </c:ext>
                  </c:extLst>
                </c:dPt>
                <c:dPt>
                  <c:idx val="71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44-3CCB-476F-95B8-640E14A88A15}"/>
                    </c:ext>
                  </c:extLst>
                </c:dPt>
                <c:dPt>
                  <c:idx val="71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46-3CCB-476F-95B8-640E14A88A15}"/>
                    </c:ext>
                  </c:extLst>
                </c:dPt>
                <c:dPt>
                  <c:idx val="71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48-3CCB-476F-95B8-640E14A88A15}"/>
                    </c:ext>
                  </c:extLst>
                </c:dPt>
                <c:dPt>
                  <c:idx val="71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4A-3CCB-476F-95B8-640E14A88A15}"/>
                    </c:ext>
                  </c:extLst>
                </c:dPt>
                <c:dPt>
                  <c:idx val="71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4C-3CCB-476F-95B8-640E14A88A15}"/>
                    </c:ext>
                  </c:extLst>
                </c:dPt>
                <c:dPt>
                  <c:idx val="72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4E-3CCB-476F-95B8-640E14A88A15}"/>
                    </c:ext>
                  </c:extLst>
                </c:dPt>
                <c:dPt>
                  <c:idx val="72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50-3CCB-476F-95B8-640E14A88A15}"/>
                    </c:ext>
                  </c:extLst>
                </c:dPt>
                <c:dPt>
                  <c:idx val="72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52-3CCB-476F-95B8-640E14A88A15}"/>
                    </c:ext>
                  </c:extLst>
                </c:dPt>
                <c:dPt>
                  <c:idx val="72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54-3CCB-476F-95B8-640E14A88A15}"/>
                    </c:ext>
                  </c:extLst>
                </c:dPt>
                <c:dPt>
                  <c:idx val="72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56-3CCB-476F-95B8-640E14A88A15}"/>
                    </c:ext>
                  </c:extLst>
                </c:dPt>
                <c:dPt>
                  <c:idx val="72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58-3CCB-476F-95B8-640E14A88A15}"/>
                    </c:ext>
                  </c:extLst>
                </c:dPt>
                <c:dPt>
                  <c:idx val="72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5A-3CCB-476F-95B8-640E14A88A15}"/>
                    </c:ext>
                  </c:extLst>
                </c:dPt>
                <c:dPt>
                  <c:idx val="72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5C-3CCB-476F-95B8-640E14A88A15}"/>
                    </c:ext>
                  </c:extLst>
                </c:dPt>
                <c:dPt>
                  <c:idx val="72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5E-3CCB-476F-95B8-640E14A88A15}"/>
                    </c:ext>
                  </c:extLst>
                </c:dPt>
                <c:dPt>
                  <c:idx val="72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60-3CCB-476F-95B8-640E14A88A15}"/>
                    </c:ext>
                  </c:extLst>
                </c:dPt>
                <c:dPt>
                  <c:idx val="73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62-3CCB-476F-95B8-640E14A88A15}"/>
                    </c:ext>
                  </c:extLst>
                </c:dPt>
                <c:dPt>
                  <c:idx val="73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64-3CCB-476F-95B8-640E14A88A15}"/>
                    </c:ext>
                  </c:extLst>
                </c:dPt>
                <c:dPt>
                  <c:idx val="73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66-3CCB-476F-95B8-640E14A88A15}"/>
                    </c:ext>
                  </c:extLst>
                </c:dPt>
                <c:dPt>
                  <c:idx val="73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68-3CCB-476F-95B8-640E14A88A15}"/>
                    </c:ext>
                  </c:extLst>
                </c:dPt>
                <c:dPt>
                  <c:idx val="73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6A-3CCB-476F-95B8-640E14A88A15}"/>
                    </c:ext>
                  </c:extLst>
                </c:dPt>
                <c:dPt>
                  <c:idx val="73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6C-3CCB-476F-95B8-640E14A88A15}"/>
                    </c:ext>
                  </c:extLst>
                </c:dPt>
                <c:dPt>
                  <c:idx val="73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6E-3CCB-476F-95B8-640E14A88A15}"/>
                    </c:ext>
                  </c:extLst>
                </c:dPt>
                <c:dPt>
                  <c:idx val="73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70-3CCB-476F-95B8-640E14A88A15}"/>
                    </c:ext>
                  </c:extLst>
                </c:dPt>
                <c:dPt>
                  <c:idx val="73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72-3CCB-476F-95B8-640E14A88A15}"/>
                    </c:ext>
                  </c:extLst>
                </c:dPt>
                <c:dPt>
                  <c:idx val="73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74-3CCB-476F-95B8-640E14A88A15}"/>
                    </c:ext>
                  </c:extLst>
                </c:dPt>
                <c:dPt>
                  <c:idx val="74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76-3CCB-476F-95B8-640E14A88A15}"/>
                    </c:ext>
                  </c:extLst>
                </c:dPt>
                <c:dPt>
                  <c:idx val="74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78-3CCB-476F-95B8-640E14A88A15}"/>
                    </c:ext>
                  </c:extLst>
                </c:dPt>
                <c:dPt>
                  <c:idx val="74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7A-3CCB-476F-95B8-640E14A88A15}"/>
                    </c:ext>
                  </c:extLst>
                </c:dPt>
                <c:dPt>
                  <c:idx val="74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7C-3CCB-476F-95B8-640E14A88A15}"/>
                    </c:ext>
                  </c:extLst>
                </c:dPt>
                <c:dPt>
                  <c:idx val="74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7E-3CCB-476F-95B8-640E14A88A15}"/>
                    </c:ext>
                  </c:extLst>
                </c:dPt>
                <c:dPt>
                  <c:idx val="74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80-3CCB-476F-95B8-640E14A88A15}"/>
                    </c:ext>
                  </c:extLst>
                </c:dPt>
                <c:dPt>
                  <c:idx val="74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82-3CCB-476F-95B8-640E14A88A15}"/>
                    </c:ext>
                  </c:extLst>
                </c:dPt>
                <c:dPt>
                  <c:idx val="74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84-3CCB-476F-95B8-640E14A88A15}"/>
                    </c:ext>
                  </c:extLst>
                </c:dPt>
                <c:dPt>
                  <c:idx val="74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86-3CCB-476F-95B8-640E14A88A15}"/>
                    </c:ext>
                  </c:extLst>
                </c:dPt>
                <c:dPt>
                  <c:idx val="74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88-3CCB-476F-95B8-640E14A88A15}"/>
                    </c:ext>
                  </c:extLst>
                </c:dPt>
                <c:dPt>
                  <c:idx val="75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8A-3CCB-476F-95B8-640E14A88A15}"/>
                    </c:ext>
                  </c:extLst>
                </c:dPt>
                <c:dPt>
                  <c:idx val="75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8C-3CCB-476F-95B8-640E14A88A15}"/>
                    </c:ext>
                  </c:extLst>
                </c:dPt>
                <c:dPt>
                  <c:idx val="75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8E-3CCB-476F-95B8-640E14A88A15}"/>
                    </c:ext>
                  </c:extLst>
                </c:dPt>
                <c:dPt>
                  <c:idx val="75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90-3CCB-476F-95B8-640E14A88A15}"/>
                    </c:ext>
                  </c:extLst>
                </c:dPt>
                <c:dPt>
                  <c:idx val="75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92-3CCB-476F-95B8-640E14A88A15}"/>
                    </c:ext>
                  </c:extLst>
                </c:dPt>
                <c:dPt>
                  <c:idx val="75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94-3CCB-476F-95B8-640E14A88A15}"/>
                    </c:ext>
                  </c:extLst>
                </c:dPt>
                <c:dPt>
                  <c:idx val="75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96-3CCB-476F-95B8-640E14A88A15}"/>
                    </c:ext>
                  </c:extLst>
                </c:dPt>
                <c:dPt>
                  <c:idx val="75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98-3CCB-476F-95B8-640E14A88A15}"/>
                    </c:ext>
                  </c:extLst>
                </c:dPt>
                <c:dPt>
                  <c:idx val="75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9A-3CCB-476F-95B8-640E14A88A15}"/>
                    </c:ext>
                  </c:extLst>
                </c:dPt>
                <c:dPt>
                  <c:idx val="75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9C-3CCB-476F-95B8-640E14A88A15}"/>
                    </c:ext>
                  </c:extLst>
                </c:dPt>
                <c:dPt>
                  <c:idx val="76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9E-3CCB-476F-95B8-640E14A88A15}"/>
                    </c:ext>
                  </c:extLst>
                </c:dPt>
                <c:dPt>
                  <c:idx val="76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A0-3CCB-476F-95B8-640E14A88A15}"/>
                    </c:ext>
                  </c:extLst>
                </c:dPt>
                <c:dPt>
                  <c:idx val="76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A2-3CCB-476F-95B8-640E14A88A15}"/>
                    </c:ext>
                  </c:extLst>
                </c:dPt>
                <c:dPt>
                  <c:idx val="76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A4-3CCB-476F-95B8-640E14A88A15}"/>
                    </c:ext>
                  </c:extLst>
                </c:dPt>
                <c:dPt>
                  <c:idx val="76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A6-3CCB-476F-95B8-640E14A88A15}"/>
                    </c:ext>
                  </c:extLst>
                </c:dPt>
                <c:dPt>
                  <c:idx val="76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A8-3CCB-476F-95B8-640E14A88A15}"/>
                    </c:ext>
                  </c:extLst>
                </c:dPt>
                <c:dPt>
                  <c:idx val="76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AA-3CCB-476F-95B8-640E14A88A15}"/>
                    </c:ext>
                  </c:extLst>
                </c:dPt>
                <c:dPt>
                  <c:idx val="76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AC-3CCB-476F-95B8-640E14A88A15}"/>
                    </c:ext>
                  </c:extLst>
                </c:dPt>
                <c:dPt>
                  <c:idx val="76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AE-3CCB-476F-95B8-640E14A88A15}"/>
                    </c:ext>
                  </c:extLst>
                </c:dPt>
                <c:dPt>
                  <c:idx val="76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B0-3CCB-476F-95B8-640E14A88A15}"/>
                    </c:ext>
                  </c:extLst>
                </c:dPt>
                <c:dPt>
                  <c:idx val="77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B2-3CCB-476F-95B8-640E14A88A15}"/>
                    </c:ext>
                  </c:extLst>
                </c:dPt>
                <c:dPt>
                  <c:idx val="77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B4-3CCB-476F-95B8-640E14A88A15}"/>
                    </c:ext>
                  </c:extLst>
                </c:dPt>
                <c:dPt>
                  <c:idx val="77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B6-3CCB-476F-95B8-640E14A88A15}"/>
                    </c:ext>
                  </c:extLst>
                </c:dPt>
                <c:dPt>
                  <c:idx val="77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B8-3CCB-476F-95B8-640E14A88A15}"/>
                    </c:ext>
                  </c:extLst>
                </c:dPt>
                <c:dPt>
                  <c:idx val="77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BA-3CCB-476F-95B8-640E14A88A15}"/>
                    </c:ext>
                  </c:extLst>
                </c:dPt>
                <c:dPt>
                  <c:idx val="77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BC-3CCB-476F-95B8-640E14A88A15}"/>
                    </c:ext>
                  </c:extLst>
                </c:dPt>
                <c:dPt>
                  <c:idx val="77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BE-3CCB-476F-95B8-640E14A88A15}"/>
                    </c:ext>
                  </c:extLst>
                </c:dPt>
                <c:dPt>
                  <c:idx val="77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C0-3CCB-476F-95B8-640E14A88A15}"/>
                    </c:ext>
                  </c:extLst>
                </c:dPt>
                <c:dPt>
                  <c:idx val="77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C2-3CCB-476F-95B8-640E14A88A15}"/>
                    </c:ext>
                  </c:extLst>
                </c:dPt>
                <c:dPt>
                  <c:idx val="77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C4-3CCB-476F-95B8-640E14A88A15}"/>
                    </c:ext>
                  </c:extLst>
                </c:dPt>
                <c:dPt>
                  <c:idx val="78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C6-3CCB-476F-95B8-640E14A88A15}"/>
                    </c:ext>
                  </c:extLst>
                </c:dPt>
                <c:dPt>
                  <c:idx val="78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C8-3CCB-476F-95B8-640E14A88A15}"/>
                    </c:ext>
                  </c:extLst>
                </c:dPt>
                <c:dPt>
                  <c:idx val="78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CA-3CCB-476F-95B8-640E14A88A15}"/>
                    </c:ext>
                  </c:extLst>
                </c:dPt>
                <c:dPt>
                  <c:idx val="78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CC-3CCB-476F-95B8-640E14A88A15}"/>
                    </c:ext>
                  </c:extLst>
                </c:dPt>
                <c:dPt>
                  <c:idx val="78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CE-3CCB-476F-95B8-640E14A88A15}"/>
                    </c:ext>
                  </c:extLst>
                </c:dPt>
                <c:dPt>
                  <c:idx val="78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D0-3CCB-476F-95B8-640E14A88A15}"/>
                    </c:ext>
                  </c:extLst>
                </c:dPt>
                <c:dPt>
                  <c:idx val="78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D2-3CCB-476F-95B8-640E14A88A15}"/>
                    </c:ext>
                  </c:extLst>
                </c:dPt>
                <c:dPt>
                  <c:idx val="78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D4-3CCB-476F-95B8-640E14A88A15}"/>
                    </c:ext>
                  </c:extLst>
                </c:dPt>
                <c:dPt>
                  <c:idx val="78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D6-3CCB-476F-95B8-640E14A88A15}"/>
                    </c:ext>
                  </c:extLst>
                </c:dPt>
                <c:dPt>
                  <c:idx val="78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D8-3CCB-476F-95B8-640E14A88A15}"/>
                    </c:ext>
                  </c:extLst>
                </c:dPt>
                <c:dPt>
                  <c:idx val="79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DA-3CCB-476F-95B8-640E14A88A15}"/>
                    </c:ext>
                  </c:extLst>
                </c:dPt>
                <c:dPt>
                  <c:idx val="79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DC-3CCB-476F-95B8-640E14A88A15}"/>
                    </c:ext>
                  </c:extLst>
                </c:dPt>
                <c:dPt>
                  <c:idx val="79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DE-3CCB-476F-95B8-640E14A88A15}"/>
                    </c:ext>
                  </c:extLst>
                </c:dPt>
                <c:dPt>
                  <c:idx val="79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E0-3CCB-476F-95B8-640E14A88A15}"/>
                    </c:ext>
                  </c:extLst>
                </c:dPt>
                <c:dPt>
                  <c:idx val="79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E2-3CCB-476F-95B8-640E14A88A15}"/>
                    </c:ext>
                  </c:extLst>
                </c:dPt>
                <c:dPt>
                  <c:idx val="79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E4-3CCB-476F-95B8-640E14A88A15}"/>
                    </c:ext>
                  </c:extLst>
                </c:dPt>
                <c:dPt>
                  <c:idx val="79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E6-3CCB-476F-95B8-640E14A88A15}"/>
                    </c:ext>
                  </c:extLst>
                </c:dPt>
                <c:dPt>
                  <c:idx val="79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E8-3CCB-476F-95B8-640E14A88A15}"/>
                    </c:ext>
                  </c:extLst>
                </c:dPt>
                <c:dPt>
                  <c:idx val="79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EA-3CCB-476F-95B8-640E14A88A15}"/>
                    </c:ext>
                  </c:extLst>
                </c:dPt>
                <c:dPt>
                  <c:idx val="79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EC-3CCB-476F-95B8-640E14A88A15}"/>
                    </c:ext>
                  </c:extLst>
                </c:dPt>
                <c:dPt>
                  <c:idx val="80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EE-3CCB-476F-95B8-640E14A88A15}"/>
                    </c:ext>
                  </c:extLst>
                </c:dPt>
                <c:dPt>
                  <c:idx val="80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F0-3CCB-476F-95B8-640E14A88A15}"/>
                    </c:ext>
                  </c:extLst>
                </c:dPt>
                <c:dPt>
                  <c:idx val="80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F2-3CCB-476F-95B8-640E14A88A15}"/>
                    </c:ext>
                  </c:extLst>
                </c:dPt>
                <c:dPt>
                  <c:idx val="80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F4-3CCB-476F-95B8-640E14A88A15}"/>
                    </c:ext>
                  </c:extLst>
                </c:dPt>
                <c:dPt>
                  <c:idx val="80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F6-3CCB-476F-95B8-640E14A88A15}"/>
                    </c:ext>
                  </c:extLst>
                </c:dPt>
                <c:dPt>
                  <c:idx val="80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F8-3CCB-476F-95B8-640E14A88A15}"/>
                    </c:ext>
                  </c:extLst>
                </c:dPt>
                <c:dPt>
                  <c:idx val="80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FA-3CCB-476F-95B8-640E14A88A15}"/>
                    </c:ext>
                  </c:extLst>
                </c:dPt>
                <c:dPt>
                  <c:idx val="80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FC-3CCB-476F-95B8-640E14A88A15}"/>
                    </c:ext>
                  </c:extLst>
                </c:dPt>
                <c:dPt>
                  <c:idx val="80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FE-3CCB-476F-95B8-640E14A88A15}"/>
                    </c:ext>
                  </c:extLst>
                </c:dPt>
                <c:dPt>
                  <c:idx val="80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D00-3CCB-476F-95B8-640E14A88A15}"/>
                    </c:ext>
                  </c:extLst>
                </c:dPt>
                <c:dPt>
                  <c:idx val="81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D02-3CCB-476F-95B8-640E14A88A15}"/>
                    </c:ext>
                  </c:extLst>
                </c:dPt>
                <c:dPt>
                  <c:idx val="81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D04-3CCB-476F-95B8-640E14A88A15}"/>
                    </c:ext>
                  </c:extLst>
                </c:dPt>
                <c:dPt>
                  <c:idx val="81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D06-3CCB-476F-95B8-640E14A88A15}"/>
                    </c:ext>
                  </c:extLst>
                </c:dPt>
                <c:dPt>
                  <c:idx val="81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D08-3CCB-476F-95B8-640E14A88A15}"/>
                    </c:ext>
                  </c:extLst>
                </c:dPt>
                <c:dPt>
                  <c:idx val="81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D0A-3CCB-476F-95B8-640E14A88A15}"/>
                    </c:ext>
                  </c:extLst>
                </c:dPt>
                <c:dPt>
                  <c:idx val="81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D0C-3CCB-476F-95B8-640E14A88A15}"/>
                    </c:ext>
                  </c:extLst>
                </c:dPt>
                <c:dPt>
                  <c:idx val="81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D0E-3CCB-476F-95B8-640E14A88A15}"/>
                    </c:ext>
                  </c:extLst>
                </c:dPt>
                <c:dPt>
                  <c:idx val="81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D10-3CCB-476F-95B8-640E14A88A15}"/>
                    </c:ext>
                  </c:extLst>
                </c:dPt>
                <c:dPt>
                  <c:idx val="81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D12-3CCB-476F-95B8-640E14A88A15}"/>
                    </c:ext>
                  </c:extLst>
                </c:dPt>
                <c:dPt>
                  <c:idx val="81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D14-3CCB-476F-95B8-640E14A88A15}"/>
                    </c:ext>
                  </c:extLst>
                </c:dPt>
                <c:dPt>
                  <c:idx val="82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D16-3CCB-476F-95B8-640E14A88A15}"/>
                    </c:ext>
                  </c:extLst>
                </c:dPt>
                <c:dPt>
                  <c:idx val="82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D18-3CCB-476F-95B8-640E14A88A15}"/>
                    </c:ext>
                  </c:extLst>
                </c:dPt>
                <c:dPt>
                  <c:idx val="82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D1A-3CCB-476F-95B8-640E14A88A15}"/>
                    </c:ext>
                  </c:extLst>
                </c:dPt>
                <c:dPt>
                  <c:idx val="82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D1C-3CCB-476F-95B8-640E14A88A15}"/>
                    </c:ext>
                  </c:extLst>
                </c:dPt>
                <c:dPt>
                  <c:idx val="82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D1E-3CCB-476F-95B8-640E14A88A15}"/>
                    </c:ext>
                  </c:extLst>
                </c:dPt>
                <c:dPt>
                  <c:idx val="82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D20-3CCB-476F-95B8-640E14A88A15}"/>
                    </c:ext>
                  </c:extLst>
                </c:dPt>
                <c:dPt>
                  <c:idx val="82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D22-3CCB-476F-95B8-640E14A88A15}"/>
                    </c:ext>
                  </c:extLst>
                </c:dPt>
                <c:dPt>
                  <c:idx val="82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D24-3CCB-476F-95B8-640E14A88A15}"/>
                    </c:ext>
                  </c:extLst>
                </c:dPt>
                <c:dPt>
                  <c:idx val="82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D26-3CCB-476F-95B8-640E14A88A15}"/>
                    </c:ext>
                  </c:extLst>
                </c:dPt>
                <c:dPt>
                  <c:idx val="82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D28-3CCB-476F-95B8-640E14A88A15}"/>
                    </c:ext>
                  </c:extLst>
                </c:dPt>
                <c:dPt>
                  <c:idx val="83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D2A-3CCB-476F-95B8-640E14A88A15}"/>
                    </c:ext>
                  </c:extLst>
                </c:dPt>
                <c:dPt>
                  <c:idx val="83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D2C-3CCB-476F-95B8-640E14A88A15}"/>
                    </c:ext>
                  </c:extLst>
                </c:dPt>
                <c:dPt>
                  <c:idx val="83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D2E-3CCB-476F-95B8-640E14A88A15}"/>
                    </c:ext>
                  </c:extLst>
                </c:dPt>
                <c:dPt>
                  <c:idx val="83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D30-3CCB-476F-95B8-640E14A88A15}"/>
                    </c:ext>
                  </c:extLst>
                </c:dPt>
                <c:dPt>
                  <c:idx val="83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D32-3CCB-476F-95B8-640E14A88A15}"/>
                    </c:ext>
                  </c:extLst>
                </c:dPt>
                <c:dPt>
                  <c:idx val="83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D34-3CCB-476F-95B8-640E14A88A15}"/>
                    </c:ext>
                  </c:extLst>
                </c:dPt>
                <c:dPt>
                  <c:idx val="83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D36-3CCB-476F-95B8-640E14A88A15}"/>
                    </c:ext>
                  </c:extLst>
                </c:dPt>
                <c:dPt>
                  <c:idx val="83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D38-3CCB-476F-95B8-640E14A88A15}"/>
                    </c:ext>
                  </c:extLst>
                </c:dPt>
                <c:dPt>
                  <c:idx val="83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D3A-3CCB-476F-95B8-640E14A88A15}"/>
                    </c:ext>
                  </c:extLst>
                </c:dPt>
                <c:dPt>
                  <c:idx val="83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D3C-3CCB-476F-95B8-640E14A88A15}"/>
                    </c:ext>
                  </c:extLst>
                </c:dPt>
                <c:dPt>
                  <c:idx val="84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D3E-3CCB-476F-95B8-640E14A88A15}"/>
                    </c:ext>
                  </c:extLst>
                </c:dPt>
                <c:dPt>
                  <c:idx val="84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D40-3CCB-476F-95B8-640E14A88A15}"/>
                    </c:ext>
                  </c:extLst>
                </c:dPt>
                <c:dPt>
                  <c:idx val="84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D42-3CCB-476F-95B8-640E14A88A15}"/>
                    </c:ext>
                  </c:extLst>
                </c:dPt>
                <c:dPt>
                  <c:idx val="84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D44-3CCB-476F-95B8-640E14A88A15}"/>
                    </c:ext>
                  </c:extLst>
                </c:dPt>
                <c:dPt>
                  <c:idx val="84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D46-3CCB-476F-95B8-640E14A88A15}"/>
                    </c:ext>
                  </c:extLst>
                </c:dPt>
                <c:dPt>
                  <c:idx val="84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D48-3CCB-476F-95B8-640E14A88A15}"/>
                    </c:ext>
                  </c:extLst>
                </c:dPt>
                <c:dPt>
                  <c:idx val="84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D4A-3CCB-476F-95B8-640E14A88A15}"/>
                    </c:ext>
                  </c:extLst>
                </c:dPt>
                <c:dPt>
                  <c:idx val="84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D4C-3CCB-476F-95B8-640E14A88A15}"/>
                    </c:ext>
                  </c:extLst>
                </c:dPt>
                <c:dPt>
                  <c:idx val="84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D4E-3CCB-476F-95B8-640E14A88A15}"/>
                    </c:ext>
                  </c:extLst>
                </c:dPt>
                <c:dPt>
                  <c:idx val="84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D50-3CCB-476F-95B8-640E14A88A15}"/>
                    </c:ext>
                  </c:extLst>
                </c:dPt>
                <c:dPt>
                  <c:idx val="85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D52-3CCB-476F-95B8-640E14A88A15}"/>
                    </c:ext>
                  </c:extLst>
                </c:dPt>
                <c:dPt>
                  <c:idx val="85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D54-3CCB-476F-95B8-640E14A88A15}"/>
                    </c:ext>
                  </c:extLst>
                </c:dPt>
                <c:dPt>
                  <c:idx val="85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D56-3CCB-476F-95B8-640E14A88A15}"/>
                    </c:ext>
                  </c:extLst>
                </c:dPt>
                <c:dPt>
                  <c:idx val="85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D58-3CCB-476F-95B8-640E14A88A15}"/>
                    </c:ext>
                  </c:extLst>
                </c:dPt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 cap="flat" cmpd="sng" algn="ctr">
                        <a:solidFill>
                          <a:schemeClr val="tx1">
                            <a:lumMod val="35000"/>
                            <a:lumOff val="65000"/>
                          </a:schemeClr>
                        </a:solidFill>
                        <a:round/>
                      </a:ln>
                      <a:effectLst/>
                    </c:spPr>
                  </c:leaderLines>
                  <c:extLst>
                    <c:ext uri="{CE6537A1-D6FC-4f65-9D91-7224C49458BB}"/>
                  </c:extLst>
                </c:dLbls>
                <c:cat>
                  <c:strRef>
                    <c:extLst>
                      <c:ext uri="{02D57815-91ED-43cb-92C2-25804820EDAC}">
                        <c15:formulaRef>
                          <c15:sqref>('Données '!$C$199,'Données '!$E$199,'Données '!$G$199,'Données '!$I$199,'Données '!$K$199,'Données '!$M$199,'Données '!$O$199)</c15:sqref>
                        </c15:formulaRef>
                      </c:ext>
                    </c:extLst>
                    <c:strCache>
                      <c:ptCount val="7"/>
                      <c:pt idx="0">
                        <c:v>ESQ ==&gt; APD</c:v>
                      </c:pt>
                      <c:pt idx="1">
                        <c:v>Fin études/AO</c:v>
                      </c:pt>
                      <c:pt idx="2">
                        <c:v>OS</c:v>
                      </c:pt>
                      <c:pt idx="3">
                        <c:v>Travaux</c:v>
                      </c:pt>
                      <c:pt idx="4">
                        <c:v>GPA</c:v>
                      </c:pt>
                      <c:pt idx="5">
                        <c:v>Clôture défisc</c:v>
                      </c:pt>
                      <c:pt idx="6">
                        <c:v>STOP</c:v>
                      </c:pt>
                    </c:strCache>
                  </c:strRef>
                </c:cat>
                <c:val>
                  <c:numRef>
                    <c:extLst>
                      <c:ext uri="{02D57815-91ED-43cb-92C2-25804820EDAC}">
                        <c15:formulaRef>
                          <c15:sqref>('Données '!$C$200,'Données '!$E$200,'Données '!$G$200,'Données '!$I$200,'Données '!$K$200,'Données '!$M$200,'Données '!$O$200)</c15:sqref>
                        </c15:formulaRef>
                      </c:ext>
                    </c:extLst>
                    <c:numCache>
                      <c:formatCode>General</c:formatCode>
                      <c:ptCount val="7"/>
                      <c:pt idx="0">
                        <c:v>2</c:v>
                      </c:pt>
                      <c:pt idx="1">
                        <c:v>3</c:v>
                      </c:pt>
                      <c:pt idx="2">
                        <c:v>0</c:v>
                      </c:pt>
                      <c:pt idx="3">
                        <c:v>2</c:v>
                      </c:pt>
                      <c:pt idx="4">
                        <c:v>2</c:v>
                      </c:pt>
                      <c:pt idx="5">
                        <c:v>0</c:v>
                      </c:pt>
                      <c:pt idx="6">
                        <c:v>0</c:v>
                      </c:pt>
                    </c:numCache>
                  </c:numRef>
                </c:val>
                <c:extLst>
                  <c:ext xmlns:c16="http://schemas.microsoft.com/office/drawing/2014/chart" uri="{C3380CC4-5D6E-409C-BE32-E72D297353CC}">
                    <c16:uniqueId val="{00000D59-3CCB-476F-95B8-640E14A88A15}"/>
                  </c:ext>
                </c:extLst>
              </c15:ser>
            </c15:filteredPieSeries>
            <c15:filteredPieSeries>
              <c15:ser>
                <c:idx val="1"/>
                <c:order val="1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'Données '!$B$201</c15:sqref>
                        </c15:formulaRef>
                      </c:ext>
                    </c:extLst>
                    <c:strCache>
                      <c:ptCount val="1"/>
                      <c:pt idx="0">
                        <c:v>DBA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01-3CCB-476F-95B8-640E14A88A15}"/>
                    </c:ext>
                  </c:extLst>
                </c:dPt>
                <c:dPt>
                  <c:idx val="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03-3CCB-476F-95B8-640E14A88A15}"/>
                    </c:ext>
                  </c:extLst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05-3CCB-476F-95B8-640E14A88A15}"/>
                    </c:ext>
                  </c:extLst>
                </c:dPt>
                <c:dPt>
                  <c:idx val="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07-3CCB-476F-95B8-640E14A88A15}"/>
                    </c:ext>
                  </c:extLst>
                </c:dPt>
                <c:dPt>
                  <c:idx val="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09-3CCB-476F-95B8-640E14A88A15}"/>
                    </c:ext>
                  </c:extLst>
                </c:dPt>
                <c:dPt>
                  <c:idx val="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0B-3CCB-476F-95B8-640E14A88A15}"/>
                    </c:ext>
                  </c:extLst>
                </c:dPt>
                <c:dPt>
                  <c:idx val="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0D-3CCB-476F-95B8-640E14A88A15}"/>
                    </c:ext>
                  </c:extLst>
                </c:dPt>
                <c:dPt>
                  <c:idx val="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0F-3CCB-476F-95B8-640E14A88A15}"/>
                    </c:ext>
                  </c:extLst>
                </c:dPt>
                <c:dPt>
                  <c:idx val="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11-3CCB-476F-95B8-640E14A88A15}"/>
                    </c:ext>
                  </c:extLst>
                </c:dPt>
                <c:dPt>
                  <c:idx val="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13-3CCB-476F-95B8-640E14A88A15}"/>
                    </c:ext>
                  </c:extLst>
                </c:dPt>
                <c:dPt>
                  <c:idx val="1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15-3CCB-476F-95B8-640E14A88A15}"/>
                    </c:ext>
                  </c:extLst>
                </c:dPt>
                <c:dPt>
                  <c:idx val="1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17-3CCB-476F-95B8-640E14A88A15}"/>
                    </c:ext>
                  </c:extLst>
                </c:dPt>
                <c:dPt>
                  <c:idx val="1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19-3CCB-476F-95B8-640E14A88A15}"/>
                    </c:ext>
                  </c:extLst>
                </c:dPt>
                <c:dPt>
                  <c:idx val="1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1B-3CCB-476F-95B8-640E14A88A15}"/>
                    </c:ext>
                  </c:extLst>
                </c:dPt>
                <c:dPt>
                  <c:idx val="1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1D-3CCB-476F-95B8-640E14A88A15}"/>
                    </c:ext>
                  </c:extLst>
                </c:dPt>
                <c:dPt>
                  <c:idx val="1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1F-3CCB-476F-95B8-640E14A88A15}"/>
                    </c:ext>
                  </c:extLst>
                </c:dPt>
                <c:dPt>
                  <c:idx val="1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21-3CCB-476F-95B8-640E14A88A15}"/>
                    </c:ext>
                  </c:extLst>
                </c:dPt>
                <c:dPt>
                  <c:idx val="1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23-3CCB-476F-95B8-640E14A88A15}"/>
                    </c:ext>
                  </c:extLst>
                </c:dPt>
                <c:dPt>
                  <c:idx val="1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25-3CCB-476F-95B8-640E14A88A15}"/>
                    </c:ext>
                  </c:extLst>
                </c:dPt>
                <c:dPt>
                  <c:idx val="1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27-3CCB-476F-95B8-640E14A88A15}"/>
                    </c:ext>
                  </c:extLst>
                </c:dPt>
                <c:dPt>
                  <c:idx val="2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29-3CCB-476F-95B8-640E14A88A15}"/>
                    </c:ext>
                  </c:extLst>
                </c:dPt>
                <c:dPt>
                  <c:idx val="2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2B-3CCB-476F-95B8-640E14A88A15}"/>
                    </c:ext>
                  </c:extLst>
                </c:dPt>
                <c:dPt>
                  <c:idx val="2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2D-3CCB-476F-95B8-640E14A88A15}"/>
                    </c:ext>
                  </c:extLst>
                </c:dPt>
                <c:dPt>
                  <c:idx val="2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2F-3CCB-476F-95B8-640E14A88A15}"/>
                    </c:ext>
                  </c:extLst>
                </c:dPt>
                <c:dPt>
                  <c:idx val="2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31-3CCB-476F-95B8-640E14A88A15}"/>
                    </c:ext>
                  </c:extLst>
                </c:dPt>
                <c:dPt>
                  <c:idx val="2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33-3CCB-476F-95B8-640E14A88A15}"/>
                    </c:ext>
                  </c:extLst>
                </c:dPt>
                <c:dPt>
                  <c:idx val="2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35-3CCB-476F-95B8-640E14A88A15}"/>
                    </c:ext>
                  </c:extLst>
                </c:dPt>
                <c:dPt>
                  <c:idx val="2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37-3CCB-476F-95B8-640E14A88A15}"/>
                    </c:ext>
                  </c:extLst>
                </c:dPt>
                <c:dPt>
                  <c:idx val="2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39-3CCB-476F-95B8-640E14A88A15}"/>
                    </c:ext>
                  </c:extLst>
                </c:dPt>
                <c:dPt>
                  <c:idx val="2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3B-3CCB-476F-95B8-640E14A88A15}"/>
                    </c:ext>
                  </c:extLst>
                </c:dPt>
                <c:dPt>
                  <c:idx val="3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3D-3CCB-476F-95B8-640E14A88A15}"/>
                    </c:ext>
                  </c:extLst>
                </c:dPt>
                <c:dPt>
                  <c:idx val="3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3F-3CCB-476F-95B8-640E14A88A15}"/>
                    </c:ext>
                  </c:extLst>
                </c:dPt>
                <c:dPt>
                  <c:idx val="3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41-3CCB-476F-95B8-640E14A88A15}"/>
                    </c:ext>
                  </c:extLst>
                </c:dPt>
                <c:dPt>
                  <c:idx val="3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43-3CCB-476F-95B8-640E14A88A15}"/>
                    </c:ext>
                  </c:extLst>
                </c:dPt>
                <c:dPt>
                  <c:idx val="3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45-3CCB-476F-95B8-640E14A88A15}"/>
                    </c:ext>
                  </c:extLst>
                </c:dPt>
                <c:dPt>
                  <c:idx val="3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47-3CCB-476F-95B8-640E14A88A15}"/>
                    </c:ext>
                  </c:extLst>
                </c:dPt>
                <c:dPt>
                  <c:idx val="3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49-3CCB-476F-95B8-640E14A88A15}"/>
                    </c:ext>
                  </c:extLst>
                </c:dPt>
                <c:dPt>
                  <c:idx val="3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4B-3CCB-476F-95B8-640E14A88A15}"/>
                    </c:ext>
                  </c:extLst>
                </c:dPt>
                <c:dPt>
                  <c:idx val="3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4D-3CCB-476F-95B8-640E14A88A15}"/>
                    </c:ext>
                  </c:extLst>
                </c:dPt>
                <c:dPt>
                  <c:idx val="3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4F-3CCB-476F-95B8-640E14A88A15}"/>
                    </c:ext>
                  </c:extLst>
                </c:dPt>
                <c:dPt>
                  <c:idx val="4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51-3CCB-476F-95B8-640E14A88A15}"/>
                    </c:ext>
                  </c:extLst>
                </c:dPt>
                <c:dPt>
                  <c:idx val="4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53-3CCB-476F-95B8-640E14A88A15}"/>
                    </c:ext>
                  </c:extLst>
                </c:dPt>
                <c:dPt>
                  <c:idx val="4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55-3CCB-476F-95B8-640E14A88A15}"/>
                    </c:ext>
                  </c:extLst>
                </c:dPt>
                <c:dPt>
                  <c:idx val="4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57-3CCB-476F-95B8-640E14A88A15}"/>
                    </c:ext>
                  </c:extLst>
                </c:dPt>
                <c:dPt>
                  <c:idx val="4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59-3CCB-476F-95B8-640E14A88A15}"/>
                    </c:ext>
                  </c:extLst>
                </c:dPt>
                <c:dPt>
                  <c:idx val="4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5B-3CCB-476F-95B8-640E14A88A15}"/>
                    </c:ext>
                  </c:extLst>
                </c:dPt>
                <c:dPt>
                  <c:idx val="4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5D-3CCB-476F-95B8-640E14A88A15}"/>
                    </c:ext>
                  </c:extLst>
                </c:dPt>
                <c:dPt>
                  <c:idx val="4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5F-3CCB-476F-95B8-640E14A88A15}"/>
                    </c:ext>
                  </c:extLst>
                </c:dPt>
                <c:dPt>
                  <c:idx val="4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61-3CCB-476F-95B8-640E14A88A15}"/>
                    </c:ext>
                  </c:extLst>
                </c:dPt>
                <c:dPt>
                  <c:idx val="4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63-3CCB-476F-95B8-640E14A88A15}"/>
                    </c:ext>
                  </c:extLst>
                </c:dPt>
                <c:dPt>
                  <c:idx val="5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65-3CCB-476F-95B8-640E14A88A15}"/>
                    </c:ext>
                  </c:extLst>
                </c:dPt>
                <c:dPt>
                  <c:idx val="5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67-3CCB-476F-95B8-640E14A88A15}"/>
                    </c:ext>
                  </c:extLst>
                </c:dPt>
                <c:dPt>
                  <c:idx val="5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69-3CCB-476F-95B8-640E14A88A15}"/>
                    </c:ext>
                  </c:extLst>
                </c:dPt>
                <c:dPt>
                  <c:idx val="5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6B-3CCB-476F-95B8-640E14A88A15}"/>
                    </c:ext>
                  </c:extLst>
                </c:dPt>
                <c:dPt>
                  <c:idx val="5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6D-3CCB-476F-95B8-640E14A88A15}"/>
                    </c:ext>
                  </c:extLst>
                </c:dPt>
                <c:dPt>
                  <c:idx val="5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6F-3CCB-476F-95B8-640E14A88A15}"/>
                    </c:ext>
                  </c:extLst>
                </c:dPt>
                <c:dPt>
                  <c:idx val="5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71-3CCB-476F-95B8-640E14A88A15}"/>
                    </c:ext>
                  </c:extLst>
                </c:dPt>
                <c:dPt>
                  <c:idx val="5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73-3CCB-476F-95B8-640E14A88A15}"/>
                    </c:ext>
                  </c:extLst>
                </c:dPt>
                <c:dPt>
                  <c:idx val="5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75-3CCB-476F-95B8-640E14A88A15}"/>
                    </c:ext>
                  </c:extLst>
                </c:dPt>
                <c:dPt>
                  <c:idx val="5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77-3CCB-476F-95B8-640E14A88A15}"/>
                    </c:ext>
                  </c:extLst>
                </c:dPt>
                <c:dPt>
                  <c:idx val="6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79-3CCB-476F-95B8-640E14A88A15}"/>
                    </c:ext>
                  </c:extLst>
                </c:dPt>
                <c:dPt>
                  <c:idx val="6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7B-3CCB-476F-95B8-640E14A88A15}"/>
                    </c:ext>
                  </c:extLst>
                </c:dPt>
                <c:dPt>
                  <c:idx val="6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7D-3CCB-476F-95B8-640E14A88A15}"/>
                    </c:ext>
                  </c:extLst>
                </c:dPt>
                <c:dPt>
                  <c:idx val="6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7F-3CCB-476F-95B8-640E14A88A15}"/>
                    </c:ext>
                  </c:extLst>
                </c:dPt>
                <c:dPt>
                  <c:idx val="6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81-3CCB-476F-95B8-640E14A88A15}"/>
                    </c:ext>
                  </c:extLst>
                </c:dPt>
                <c:dPt>
                  <c:idx val="6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83-3CCB-476F-95B8-640E14A88A15}"/>
                    </c:ext>
                  </c:extLst>
                </c:dPt>
                <c:dPt>
                  <c:idx val="6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85-3CCB-476F-95B8-640E14A88A15}"/>
                    </c:ext>
                  </c:extLst>
                </c:dPt>
                <c:dPt>
                  <c:idx val="6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87-3CCB-476F-95B8-640E14A88A15}"/>
                    </c:ext>
                  </c:extLst>
                </c:dPt>
                <c:dPt>
                  <c:idx val="6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89-3CCB-476F-95B8-640E14A88A15}"/>
                    </c:ext>
                  </c:extLst>
                </c:dPt>
                <c:dPt>
                  <c:idx val="6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8B-3CCB-476F-95B8-640E14A88A15}"/>
                    </c:ext>
                  </c:extLst>
                </c:dPt>
                <c:dPt>
                  <c:idx val="7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8D-3CCB-476F-95B8-640E14A88A15}"/>
                    </c:ext>
                  </c:extLst>
                </c:dPt>
                <c:dPt>
                  <c:idx val="7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8F-3CCB-476F-95B8-640E14A88A15}"/>
                    </c:ext>
                  </c:extLst>
                </c:dPt>
                <c:dPt>
                  <c:idx val="7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91-3CCB-476F-95B8-640E14A88A15}"/>
                    </c:ext>
                  </c:extLst>
                </c:dPt>
                <c:dPt>
                  <c:idx val="7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93-3CCB-476F-95B8-640E14A88A15}"/>
                    </c:ext>
                  </c:extLst>
                </c:dPt>
                <c:dPt>
                  <c:idx val="7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95-3CCB-476F-95B8-640E14A88A15}"/>
                    </c:ext>
                  </c:extLst>
                </c:dPt>
                <c:dPt>
                  <c:idx val="7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97-3CCB-476F-95B8-640E14A88A15}"/>
                    </c:ext>
                  </c:extLst>
                </c:dPt>
                <c:dPt>
                  <c:idx val="7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99-3CCB-476F-95B8-640E14A88A15}"/>
                    </c:ext>
                  </c:extLst>
                </c:dPt>
                <c:dPt>
                  <c:idx val="7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9B-3CCB-476F-95B8-640E14A88A15}"/>
                    </c:ext>
                  </c:extLst>
                </c:dPt>
                <c:dPt>
                  <c:idx val="7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9D-3CCB-476F-95B8-640E14A88A15}"/>
                    </c:ext>
                  </c:extLst>
                </c:dPt>
                <c:dPt>
                  <c:idx val="7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9F-3CCB-476F-95B8-640E14A88A15}"/>
                    </c:ext>
                  </c:extLst>
                </c:dPt>
                <c:dPt>
                  <c:idx val="8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A1-3CCB-476F-95B8-640E14A88A15}"/>
                    </c:ext>
                  </c:extLst>
                </c:dPt>
                <c:dPt>
                  <c:idx val="8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A3-3CCB-476F-95B8-640E14A88A15}"/>
                    </c:ext>
                  </c:extLst>
                </c:dPt>
                <c:dPt>
                  <c:idx val="8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A5-3CCB-476F-95B8-640E14A88A15}"/>
                    </c:ext>
                  </c:extLst>
                </c:dPt>
                <c:dPt>
                  <c:idx val="8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A7-3CCB-476F-95B8-640E14A88A15}"/>
                    </c:ext>
                  </c:extLst>
                </c:dPt>
                <c:dPt>
                  <c:idx val="8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A9-3CCB-476F-95B8-640E14A88A15}"/>
                    </c:ext>
                  </c:extLst>
                </c:dPt>
                <c:dPt>
                  <c:idx val="8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AB-3CCB-476F-95B8-640E14A88A15}"/>
                    </c:ext>
                  </c:extLst>
                </c:dPt>
                <c:dPt>
                  <c:idx val="8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AD-3CCB-476F-95B8-640E14A88A15}"/>
                    </c:ext>
                  </c:extLst>
                </c:dPt>
                <c:dPt>
                  <c:idx val="8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AF-3CCB-476F-95B8-640E14A88A15}"/>
                    </c:ext>
                  </c:extLst>
                </c:dPt>
                <c:dPt>
                  <c:idx val="8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B1-3CCB-476F-95B8-640E14A88A15}"/>
                    </c:ext>
                  </c:extLst>
                </c:dPt>
                <c:dPt>
                  <c:idx val="8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B3-3CCB-476F-95B8-640E14A88A15}"/>
                    </c:ext>
                  </c:extLst>
                </c:dPt>
                <c:dPt>
                  <c:idx val="9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B5-3CCB-476F-95B8-640E14A88A15}"/>
                    </c:ext>
                  </c:extLst>
                </c:dPt>
                <c:dPt>
                  <c:idx val="9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B7-3CCB-476F-95B8-640E14A88A15}"/>
                    </c:ext>
                  </c:extLst>
                </c:dPt>
                <c:dPt>
                  <c:idx val="9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B9-3CCB-476F-95B8-640E14A88A15}"/>
                    </c:ext>
                  </c:extLst>
                </c:dPt>
                <c:dPt>
                  <c:idx val="9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BB-3CCB-476F-95B8-640E14A88A15}"/>
                    </c:ext>
                  </c:extLst>
                </c:dPt>
                <c:dPt>
                  <c:idx val="9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BD-3CCB-476F-95B8-640E14A88A15}"/>
                    </c:ext>
                  </c:extLst>
                </c:dPt>
                <c:dPt>
                  <c:idx val="9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BF-3CCB-476F-95B8-640E14A88A15}"/>
                    </c:ext>
                  </c:extLst>
                </c:dPt>
                <c:dPt>
                  <c:idx val="9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C1-3CCB-476F-95B8-640E14A88A15}"/>
                    </c:ext>
                  </c:extLst>
                </c:dPt>
                <c:dPt>
                  <c:idx val="9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C3-3CCB-476F-95B8-640E14A88A15}"/>
                    </c:ext>
                  </c:extLst>
                </c:dPt>
                <c:dPt>
                  <c:idx val="9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C5-3CCB-476F-95B8-640E14A88A15}"/>
                    </c:ext>
                  </c:extLst>
                </c:dPt>
                <c:dPt>
                  <c:idx val="9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C7-3CCB-476F-95B8-640E14A88A15}"/>
                    </c:ext>
                  </c:extLst>
                </c:dPt>
                <c:dPt>
                  <c:idx val="10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C9-3CCB-476F-95B8-640E14A88A15}"/>
                    </c:ext>
                  </c:extLst>
                </c:dPt>
                <c:dPt>
                  <c:idx val="10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CB-3CCB-476F-95B8-640E14A88A15}"/>
                    </c:ext>
                  </c:extLst>
                </c:dPt>
                <c:dPt>
                  <c:idx val="10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CD-3CCB-476F-95B8-640E14A88A15}"/>
                    </c:ext>
                  </c:extLst>
                </c:dPt>
                <c:dPt>
                  <c:idx val="10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CF-3CCB-476F-95B8-640E14A88A15}"/>
                    </c:ext>
                  </c:extLst>
                </c:dPt>
                <c:dPt>
                  <c:idx val="10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D1-3CCB-476F-95B8-640E14A88A15}"/>
                    </c:ext>
                  </c:extLst>
                </c:dPt>
                <c:dPt>
                  <c:idx val="10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D3-3CCB-476F-95B8-640E14A88A15}"/>
                    </c:ext>
                  </c:extLst>
                </c:dPt>
                <c:dPt>
                  <c:idx val="10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D5-3CCB-476F-95B8-640E14A88A15}"/>
                    </c:ext>
                  </c:extLst>
                </c:dPt>
                <c:dPt>
                  <c:idx val="10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D7-3CCB-476F-95B8-640E14A88A15}"/>
                    </c:ext>
                  </c:extLst>
                </c:dPt>
                <c:dPt>
                  <c:idx val="10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D9-3CCB-476F-95B8-640E14A88A15}"/>
                    </c:ext>
                  </c:extLst>
                </c:dPt>
                <c:dPt>
                  <c:idx val="10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DB-3CCB-476F-95B8-640E14A88A15}"/>
                    </c:ext>
                  </c:extLst>
                </c:dPt>
                <c:dPt>
                  <c:idx val="11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DD-3CCB-476F-95B8-640E14A88A15}"/>
                    </c:ext>
                  </c:extLst>
                </c:dPt>
                <c:dPt>
                  <c:idx val="11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DF-3CCB-476F-95B8-640E14A88A15}"/>
                    </c:ext>
                  </c:extLst>
                </c:dPt>
                <c:dPt>
                  <c:idx val="11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E1-3CCB-476F-95B8-640E14A88A15}"/>
                    </c:ext>
                  </c:extLst>
                </c:dPt>
                <c:dPt>
                  <c:idx val="11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E3-3CCB-476F-95B8-640E14A88A15}"/>
                    </c:ext>
                  </c:extLst>
                </c:dPt>
                <c:dPt>
                  <c:idx val="11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E5-3CCB-476F-95B8-640E14A88A15}"/>
                    </c:ext>
                  </c:extLst>
                </c:dPt>
                <c:dPt>
                  <c:idx val="11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E7-3CCB-476F-95B8-640E14A88A15}"/>
                    </c:ext>
                  </c:extLst>
                </c:dPt>
                <c:dPt>
                  <c:idx val="11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E9-3CCB-476F-95B8-640E14A88A15}"/>
                    </c:ext>
                  </c:extLst>
                </c:dPt>
                <c:dPt>
                  <c:idx val="11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EB-3CCB-476F-95B8-640E14A88A15}"/>
                    </c:ext>
                  </c:extLst>
                </c:dPt>
                <c:dPt>
                  <c:idx val="11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ED-3CCB-476F-95B8-640E14A88A15}"/>
                    </c:ext>
                  </c:extLst>
                </c:dPt>
                <c:dPt>
                  <c:idx val="11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EF-3CCB-476F-95B8-640E14A88A15}"/>
                    </c:ext>
                  </c:extLst>
                </c:dPt>
                <c:dPt>
                  <c:idx val="12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F1-3CCB-476F-95B8-640E14A88A15}"/>
                    </c:ext>
                  </c:extLst>
                </c:dPt>
                <c:dPt>
                  <c:idx val="12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F3-3CCB-476F-95B8-640E14A88A15}"/>
                    </c:ext>
                  </c:extLst>
                </c:dPt>
                <c:dPt>
                  <c:idx val="12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F5-3CCB-476F-95B8-640E14A88A15}"/>
                    </c:ext>
                  </c:extLst>
                </c:dPt>
                <c:dPt>
                  <c:idx val="12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F7-3CCB-476F-95B8-640E14A88A15}"/>
                    </c:ext>
                  </c:extLst>
                </c:dPt>
                <c:dPt>
                  <c:idx val="12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F9-3CCB-476F-95B8-640E14A88A15}"/>
                    </c:ext>
                  </c:extLst>
                </c:dPt>
                <c:dPt>
                  <c:idx val="12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FB-3CCB-476F-95B8-640E14A88A15}"/>
                    </c:ext>
                  </c:extLst>
                </c:dPt>
                <c:dPt>
                  <c:idx val="12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FD-3CCB-476F-95B8-640E14A88A15}"/>
                    </c:ext>
                  </c:extLst>
                </c:dPt>
                <c:dPt>
                  <c:idx val="12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FF-3CCB-476F-95B8-640E14A88A15}"/>
                    </c:ext>
                  </c:extLst>
                </c:dPt>
                <c:dPt>
                  <c:idx val="12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01-3CCB-476F-95B8-640E14A88A15}"/>
                    </c:ext>
                  </c:extLst>
                </c:dPt>
                <c:dPt>
                  <c:idx val="12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03-3CCB-476F-95B8-640E14A88A15}"/>
                    </c:ext>
                  </c:extLst>
                </c:dPt>
                <c:dPt>
                  <c:idx val="13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05-3CCB-476F-95B8-640E14A88A15}"/>
                    </c:ext>
                  </c:extLst>
                </c:dPt>
                <c:dPt>
                  <c:idx val="13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07-3CCB-476F-95B8-640E14A88A15}"/>
                    </c:ext>
                  </c:extLst>
                </c:dPt>
                <c:dPt>
                  <c:idx val="13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09-3CCB-476F-95B8-640E14A88A15}"/>
                    </c:ext>
                  </c:extLst>
                </c:dPt>
                <c:dPt>
                  <c:idx val="13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0B-3CCB-476F-95B8-640E14A88A15}"/>
                    </c:ext>
                  </c:extLst>
                </c:dPt>
                <c:dPt>
                  <c:idx val="13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0D-3CCB-476F-95B8-640E14A88A15}"/>
                    </c:ext>
                  </c:extLst>
                </c:dPt>
                <c:dPt>
                  <c:idx val="13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0F-3CCB-476F-95B8-640E14A88A15}"/>
                    </c:ext>
                  </c:extLst>
                </c:dPt>
                <c:dPt>
                  <c:idx val="13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11-3CCB-476F-95B8-640E14A88A15}"/>
                    </c:ext>
                  </c:extLst>
                </c:dPt>
                <c:dPt>
                  <c:idx val="13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13-3CCB-476F-95B8-640E14A88A15}"/>
                    </c:ext>
                  </c:extLst>
                </c:dPt>
                <c:dPt>
                  <c:idx val="13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15-3CCB-476F-95B8-640E14A88A15}"/>
                    </c:ext>
                  </c:extLst>
                </c:dPt>
                <c:dPt>
                  <c:idx val="13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17-3CCB-476F-95B8-640E14A88A15}"/>
                    </c:ext>
                  </c:extLst>
                </c:dPt>
                <c:dPt>
                  <c:idx val="14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19-3CCB-476F-95B8-640E14A88A15}"/>
                    </c:ext>
                  </c:extLst>
                </c:dPt>
                <c:dPt>
                  <c:idx val="14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1B-3CCB-476F-95B8-640E14A88A15}"/>
                    </c:ext>
                  </c:extLst>
                </c:dPt>
                <c:dPt>
                  <c:idx val="14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1D-3CCB-476F-95B8-640E14A88A15}"/>
                    </c:ext>
                  </c:extLst>
                </c:dPt>
                <c:dPt>
                  <c:idx val="14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1F-3CCB-476F-95B8-640E14A88A15}"/>
                    </c:ext>
                  </c:extLst>
                </c:dPt>
                <c:dPt>
                  <c:idx val="14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21-3CCB-476F-95B8-640E14A88A15}"/>
                    </c:ext>
                  </c:extLst>
                </c:dPt>
                <c:dPt>
                  <c:idx val="14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23-3CCB-476F-95B8-640E14A88A15}"/>
                    </c:ext>
                  </c:extLst>
                </c:dPt>
                <c:dPt>
                  <c:idx val="14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25-3CCB-476F-95B8-640E14A88A15}"/>
                    </c:ext>
                  </c:extLst>
                </c:dPt>
                <c:dPt>
                  <c:idx val="14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27-3CCB-476F-95B8-640E14A88A15}"/>
                    </c:ext>
                  </c:extLst>
                </c:dPt>
                <c:dPt>
                  <c:idx val="14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29-3CCB-476F-95B8-640E14A88A15}"/>
                    </c:ext>
                  </c:extLst>
                </c:dPt>
                <c:dPt>
                  <c:idx val="14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2B-3CCB-476F-95B8-640E14A88A15}"/>
                    </c:ext>
                  </c:extLst>
                </c:dPt>
                <c:dPt>
                  <c:idx val="15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2D-3CCB-476F-95B8-640E14A88A15}"/>
                    </c:ext>
                  </c:extLst>
                </c:dPt>
                <c:dPt>
                  <c:idx val="15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2F-3CCB-476F-95B8-640E14A88A15}"/>
                    </c:ext>
                  </c:extLst>
                </c:dPt>
                <c:dPt>
                  <c:idx val="15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31-3CCB-476F-95B8-640E14A88A15}"/>
                    </c:ext>
                  </c:extLst>
                </c:dPt>
                <c:dPt>
                  <c:idx val="15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33-3CCB-476F-95B8-640E14A88A15}"/>
                    </c:ext>
                  </c:extLst>
                </c:dPt>
                <c:dPt>
                  <c:idx val="15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35-3CCB-476F-95B8-640E14A88A15}"/>
                    </c:ext>
                  </c:extLst>
                </c:dPt>
                <c:dPt>
                  <c:idx val="15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37-3CCB-476F-95B8-640E14A88A15}"/>
                    </c:ext>
                  </c:extLst>
                </c:dPt>
                <c:dPt>
                  <c:idx val="15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39-3CCB-476F-95B8-640E14A88A15}"/>
                    </c:ext>
                  </c:extLst>
                </c:dPt>
                <c:dPt>
                  <c:idx val="15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3B-3CCB-476F-95B8-640E14A88A15}"/>
                    </c:ext>
                  </c:extLst>
                </c:dPt>
                <c:dPt>
                  <c:idx val="15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3D-3CCB-476F-95B8-640E14A88A15}"/>
                    </c:ext>
                  </c:extLst>
                </c:dPt>
                <c:dPt>
                  <c:idx val="15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3F-3CCB-476F-95B8-640E14A88A15}"/>
                    </c:ext>
                  </c:extLst>
                </c:dPt>
                <c:dPt>
                  <c:idx val="16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41-3CCB-476F-95B8-640E14A88A15}"/>
                    </c:ext>
                  </c:extLst>
                </c:dPt>
                <c:dPt>
                  <c:idx val="16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43-3CCB-476F-95B8-640E14A88A15}"/>
                    </c:ext>
                  </c:extLst>
                </c:dPt>
                <c:dPt>
                  <c:idx val="16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45-3CCB-476F-95B8-640E14A88A15}"/>
                    </c:ext>
                  </c:extLst>
                </c:dPt>
                <c:dPt>
                  <c:idx val="16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47-3CCB-476F-95B8-640E14A88A15}"/>
                    </c:ext>
                  </c:extLst>
                </c:dPt>
                <c:dPt>
                  <c:idx val="16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49-3CCB-476F-95B8-640E14A88A15}"/>
                    </c:ext>
                  </c:extLst>
                </c:dPt>
                <c:dPt>
                  <c:idx val="16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4B-3CCB-476F-95B8-640E14A88A15}"/>
                    </c:ext>
                  </c:extLst>
                </c:dPt>
                <c:dPt>
                  <c:idx val="16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4D-3CCB-476F-95B8-640E14A88A15}"/>
                    </c:ext>
                  </c:extLst>
                </c:dPt>
                <c:dPt>
                  <c:idx val="16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4F-3CCB-476F-95B8-640E14A88A15}"/>
                    </c:ext>
                  </c:extLst>
                </c:dPt>
                <c:dPt>
                  <c:idx val="16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51-3CCB-476F-95B8-640E14A88A15}"/>
                    </c:ext>
                  </c:extLst>
                </c:dPt>
                <c:dPt>
                  <c:idx val="16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53-3CCB-476F-95B8-640E14A88A15}"/>
                    </c:ext>
                  </c:extLst>
                </c:dPt>
                <c:dPt>
                  <c:idx val="17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55-3CCB-476F-95B8-640E14A88A15}"/>
                    </c:ext>
                  </c:extLst>
                </c:dPt>
                <c:dPt>
                  <c:idx val="17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57-3CCB-476F-95B8-640E14A88A15}"/>
                    </c:ext>
                  </c:extLst>
                </c:dPt>
                <c:dPt>
                  <c:idx val="17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59-3CCB-476F-95B8-640E14A88A15}"/>
                    </c:ext>
                  </c:extLst>
                </c:dPt>
                <c:dPt>
                  <c:idx val="17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5B-3CCB-476F-95B8-640E14A88A15}"/>
                    </c:ext>
                  </c:extLst>
                </c:dPt>
                <c:dPt>
                  <c:idx val="17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5D-3CCB-476F-95B8-640E14A88A15}"/>
                    </c:ext>
                  </c:extLst>
                </c:dPt>
                <c:dPt>
                  <c:idx val="17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5F-3CCB-476F-95B8-640E14A88A15}"/>
                    </c:ext>
                  </c:extLst>
                </c:dPt>
                <c:dPt>
                  <c:idx val="17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61-3CCB-476F-95B8-640E14A88A15}"/>
                    </c:ext>
                  </c:extLst>
                </c:dPt>
                <c:dPt>
                  <c:idx val="17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63-3CCB-476F-95B8-640E14A88A15}"/>
                    </c:ext>
                  </c:extLst>
                </c:dPt>
                <c:dPt>
                  <c:idx val="17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65-3CCB-476F-95B8-640E14A88A15}"/>
                    </c:ext>
                  </c:extLst>
                </c:dPt>
                <c:dPt>
                  <c:idx val="17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67-3CCB-476F-95B8-640E14A88A15}"/>
                    </c:ext>
                  </c:extLst>
                </c:dPt>
                <c:dPt>
                  <c:idx val="18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69-3CCB-476F-95B8-640E14A88A15}"/>
                    </c:ext>
                  </c:extLst>
                </c:dPt>
                <c:dPt>
                  <c:idx val="18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6B-3CCB-476F-95B8-640E14A88A15}"/>
                    </c:ext>
                  </c:extLst>
                </c:dPt>
                <c:dPt>
                  <c:idx val="18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6D-3CCB-476F-95B8-640E14A88A15}"/>
                    </c:ext>
                  </c:extLst>
                </c:dPt>
                <c:dPt>
                  <c:idx val="18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6F-3CCB-476F-95B8-640E14A88A15}"/>
                    </c:ext>
                  </c:extLst>
                </c:dPt>
                <c:dPt>
                  <c:idx val="18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71-3CCB-476F-95B8-640E14A88A15}"/>
                    </c:ext>
                  </c:extLst>
                </c:dPt>
                <c:dPt>
                  <c:idx val="18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73-3CCB-476F-95B8-640E14A88A15}"/>
                    </c:ext>
                  </c:extLst>
                </c:dPt>
                <c:dPt>
                  <c:idx val="18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75-3CCB-476F-95B8-640E14A88A15}"/>
                    </c:ext>
                  </c:extLst>
                </c:dPt>
                <c:dPt>
                  <c:idx val="18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77-3CCB-476F-95B8-640E14A88A15}"/>
                    </c:ext>
                  </c:extLst>
                </c:dPt>
                <c:dPt>
                  <c:idx val="18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79-3CCB-476F-95B8-640E14A88A15}"/>
                    </c:ext>
                  </c:extLst>
                </c:dPt>
                <c:dPt>
                  <c:idx val="18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7B-3CCB-476F-95B8-640E14A88A15}"/>
                    </c:ext>
                  </c:extLst>
                </c:dPt>
                <c:dPt>
                  <c:idx val="19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7D-3CCB-476F-95B8-640E14A88A15}"/>
                    </c:ext>
                  </c:extLst>
                </c:dPt>
                <c:dPt>
                  <c:idx val="19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7F-3CCB-476F-95B8-640E14A88A15}"/>
                    </c:ext>
                  </c:extLst>
                </c:dPt>
                <c:dPt>
                  <c:idx val="19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81-3CCB-476F-95B8-640E14A88A15}"/>
                    </c:ext>
                  </c:extLst>
                </c:dPt>
                <c:dPt>
                  <c:idx val="19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83-3CCB-476F-95B8-640E14A88A15}"/>
                    </c:ext>
                  </c:extLst>
                </c:dPt>
                <c:dPt>
                  <c:idx val="19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85-3CCB-476F-95B8-640E14A88A15}"/>
                    </c:ext>
                  </c:extLst>
                </c:dPt>
                <c:dPt>
                  <c:idx val="19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87-3CCB-476F-95B8-640E14A88A15}"/>
                    </c:ext>
                  </c:extLst>
                </c:dPt>
                <c:dPt>
                  <c:idx val="19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89-3CCB-476F-95B8-640E14A88A15}"/>
                    </c:ext>
                  </c:extLst>
                </c:dPt>
                <c:dPt>
                  <c:idx val="19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8B-3CCB-476F-95B8-640E14A88A15}"/>
                    </c:ext>
                  </c:extLst>
                </c:dPt>
                <c:dPt>
                  <c:idx val="19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8D-3CCB-476F-95B8-640E14A88A15}"/>
                    </c:ext>
                  </c:extLst>
                </c:dPt>
                <c:dPt>
                  <c:idx val="19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8F-3CCB-476F-95B8-640E14A88A15}"/>
                    </c:ext>
                  </c:extLst>
                </c:dPt>
                <c:dPt>
                  <c:idx val="20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91-3CCB-476F-95B8-640E14A88A15}"/>
                    </c:ext>
                  </c:extLst>
                </c:dPt>
                <c:dPt>
                  <c:idx val="20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93-3CCB-476F-95B8-640E14A88A15}"/>
                    </c:ext>
                  </c:extLst>
                </c:dPt>
                <c:dPt>
                  <c:idx val="20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95-3CCB-476F-95B8-640E14A88A15}"/>
                    </c:ext>
                  </c:extLst>
                </c:dPt>
                <c:dPt>
                  <c:idx val="20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97-3CCB-476F-95B8-640E14A88A15}"/>
                    </c:ext>
                  </c:extLst>
                </c:dPt>
                <c:dPt>
                  <c:idx val="20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99-3CCB-476F-95B8-640E14A88A15}"/>
                    </c:ext>
                  </c:extLst>
                </c:dPt>
                <c:dPt>
                  <c:idx val="20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9B-3CCB-476F-95B8-640E14A88A15}"/>
                    </c:ext>
                  </c:extLst>
                </c:dPt>
                <c:dPt>
                  <c:idx val="20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9D-3CCB-476F-95B8-640E14A88A15}"/>
                    </c:ext>
                  </c:extLst>
                </c:dPt>
                <c:dPt>
                  <c:idx val="20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9F-3CCB-476F-95B8-640E14A88A15}"/>
                    </c:ext>
                  </c:extLst>
                </c:dPt>
                <c:dPt>
                  <c:idx val="20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A1-3CCB-476F-95B8-640E14A88A15}"/>
                    </c:ext>
                  </c:extLst>
                </c:dPt>
                <c:dPt>
                  <c:idx val="20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A3-3CCB-476F-95B8-640E14A88A15}"/>
                    </c:ext>
                  </c:extLst>
                </c:dPt>
                <c:dPt>
                  <c:idx val="21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A5-3CCB-476F-95B8-640E14A88A15}"/>
                    </c:ext>
                  </c:extLst>
                </c:dPt>
                <c:dPt>
                  <c:idx val="21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A7-3CCB-476F-95B8-640E14A88A15}"/>
                    </c:ext>
                  </c:extLst>
                </c:dPt>
                <c:dPt>
                  <c:idx val="21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A9-3CCB-476F-95B8-640E14A88A15}"/>
                    </c:ext>
                  </c:extLst>
                </c:dPt>
                <c:dPt>
                  <c:idx val="21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AB-3CCB-476F-95B8-640E14A88A15}"/>
                    </c:ext>
                  </c:extLst>
                </c:dPt>
                <c:dPt>
                  <c:idx val="21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AD-3CCB-476F-95B8-640E14A88A15}"/>
                    </c:ext>
                  </c:extLst>
                </c:dPt>
                <c:dPt>
                  <c:idx val="21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AF-3CCB-476F-95B8-640E14A88A15}"/>
                    </c:ext>
                  </c:extLst>
                </c:dPt>
                <c:dPt>
                  <c:idx val="21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B1-3CCB-476F-95B8-640E14A88A15}"/>
                    </c:ext>
                  </c:extLst>
                </c:dPt>
                <c:dPt>
                  <c:idx val="21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B3-3CCB-476F-95B8-640E14A88A15}"/>
                    </c:ext>
                  </c:extLst>
                </c:dPt>
                <c:dPt>
                  <c:idx val="21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B5-3CCB-476F-95B8-640E14A88A15}"/>
                    </c:ext>
                  </c:extLst>
                </c:dPt>
                <c:dPt>
                  <c:idx val="21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B7-3CCB-476F-95B8-640E14A88A15}"/>
                    </c:ext>
                  </c:extLst>
                </c:dPt>
                <c:dPt>
                  <c:idx val="22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B9-3CCB-476F-95B8-640E14A88A15}"/>
                    </c:ext>
                  </c:extLst>
                </c:dPt>
                <c:dPt>
                  <c:idx val="22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BB-3CCB-476F-95B8-640E14A88A15}"/>
                    </c:ext>
                  </c:extLst>
                </c:dPt>
                <c:dPt>
                  <c:idx val="22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BD-3CCB-476F-95B8-640E14A88A15}"/>
                    </c:ext>
                  </c:extLst>
                </c:dPt>
                <c:dPt>
                  <c:idx val="22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BF-3CCB-476F-95B8-640E14A88A15}"/>
                    </c:ext>
                  </c:extLst>
                </c:dPt>
                <c:dPt>
                  <c:idx val="22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C1-3CCB-476F-95B8-640E14A88A15}"/>
                    </c:ext>
                  </c:extLst>
                </c:dPt>
                <c:dPt>
                  <c:idx val="22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C3-3CCB-476F-95B8-640E14A88A15}"/>
                    </c:ext>
                  </c:extLst>
                </c:dPt>
                <c:dPt>
                  <c:idx val="22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C5-3CCB-476F-95B8-640E14A88A15}"/>
                    </c:ext>
                  </c:extLst>
                </c:dPt>
                <c:dPt>
                  <c:idx val="22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C7-3CCB-476F-95B8-640E14A88A15}"/>
                    </c:ext>
                  </c:extLst>
                </c:dPt>
                <c:dPt>
                  <c:idx val="22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C9-3CCB-476F-95B8-640E14A88A15}"/>
                    </c:ext>
                  </c:extLst>
                </c:dPt>
                <c:dPt>
                  <c:idx val="22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CB-3CCB-476F-95B8-640E14A88A15}"/>
                    </c:ext>
                  </c:extLst>
                </c:dPt>
                <c:dPt>
                  <c:idx val="23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CD-3CCB-476F-95B8-640E14A88A15}"/>
                    </c:ext>
                  </c:extLst>
                </c:dPt>
                <c:dPt>
                  <c:idx val="23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CF-3CCB-476F-95B8-640E14A88A15}"/>
                    </c:ext>
                  </c:extLst>
                </c:dPt>
                <c:dPt>
                  <c:idx val="23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D1-3CCB-476F-95B8-640E14A88A15}"/>
                    </c:ext>
                  </c:extLst>
                </c:dPt>
                <c:dPt>
                  <c:idx val="23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D3-3CCB-476F-95B8-640E14A88A15}"/>
                    </c:ext>
                  </c:extLst>
                </c:dPt>
                <c:dPt>
                  <c:idx val="23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D5-3CCB-476F-95B8-640E14A88A15}"/>
                    </c:ext>
                  </c:extLst>
                </c:dPt>
                <c:dPt>
                  <c:idx val="23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D7-3CCB-476F-95B8-640E14A88A15}"/>
                    </c:ext>
                  </c:extLst>
                </c:dPt>
                <c:dPt>
                  <c:idx val="23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D9-3CCB-476F-95B8-640E14A88A15}"/>
                    </c:ext>
                  </c:extLst>
                </c:dPt>
                <c:dPt>
                  <c:idx val="23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DB-3CCB-476F-95B8-640E14A88A15}"/>
                    </c:ext>
                  </c:extLst>
                </c:dPt>
                <c:dPt>
                  <c:idx val="23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DD-3CCB-476F-95B8-640E14A88A15}"/>
                    </c:ext>
                  </c:extLst>
                </c:dPt>
                <c:dPt>
                  <c:idx val="23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DF-3CCB-476F-95B8-640E14A88A15}"/>
                    </c:ext>
                  </c:extLst>
                </c:dPt>
                <c:dPt>
                  <c:idx val="24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E1-3CCB-476F-95B8-640E14A88A15}"/>
                    </c:ext>
                  </c:extLst>
                </c:dPt>
                <c:dPt>
                  <c:idx val="24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E3-3CCB-476F-95B8-640E14A88A15}"/>
                    </c:ext>
                  </c:extLst>
                </c:dPt>
                <c:dPt>
                  <c:idx val="24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E5-3CCB-476F-95B8-640E14A88A15}"/>
                    </c:ext>
                  </c:extLst>
                </c:dPt>
                <c:dPt>
                  <c:idx val="24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E7-3CCB-476F-95B8-640E14A88A15}"/>
                    </c:ext>
                  </c:extLst>
                </c:dPt>
                <c:dPt>
                  <c:idx val="24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E9-3CCB-476F-95B8-640E14A88A15}"/>
                    </c:ext>
                  </c:extLst>
                </c:dPt>
                <c:dPt>
                  <c:idx val="24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EB-3CCB-476F-95B8-640E14A88A15}"/>
                    </c:ext>
                  </c:extLst>
                </c:dPt>
                <c:dPt>
                  <c:idx val="24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ED-3CCB-476F-95B8-640E14A88A15}"/>
                    </c:ext>
                  </c:extLst>
                </c:dPt>
                <c:dPt>
                  <c:idx val="24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EF-3CCB-476F-95B8-640E14A88A15}"/>
                    </c:ext>
                  </c:extLst>
                </c:dPt>
                <c:dPt>
                  <c:idx val="24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F1-3CCB-476F-95B8-640E14A88A15}"/>
                    </c:ext>
                  </c:extLst>
                </c:dPt>
                <c:dPt>
                  <c:idx val="24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F3-3CCB-476F-95B8-640E14A88A15}"/>
                    </c:ext>
                  </c:extLst>
                </c:dPt>
                <c:dPt>
                  <c:idx val="25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F5-3CCB-476F-95B8-640E14A88A15}"/>
                    </c:ext>
                  </c:extLst>
                </c:dPt>
                <c:dPt>
                  <c:idx val="25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F7-3CCB-476F-95B8-640E14A88A15}"/>
                    </c:ext>
                  </c:extLst>
                </c:dPt>
                <c:dPt>
                  <c:idx val="25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F9-3CCB-476F-95B8-640E14A88A15}"/>
                    </c:ext>
                  </c:extLst>
                </c:dPt>
                <c:dPt>
                  <c:idx val="25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FB-3CCB-476F-95B8-640E14A88A15}"/>
                    </c:ext>
                  </c:extLst>
                </c:dPt>
                <c:dPt>
                  <c:idx val="25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FD-3CCB-476F-95B8-640E14A88A15}"/>
                    </c:ext>
                  </c:extLst>
                </c:dPt>
                <c:dPt>
                  <c:idx val="25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FF-3CCB-476F-95B8-640E14A88A15}"/>
                    </c:ext>
                  </c:extLst>
                </c:dPt>
                <c:dPt>
                  <c:idx val="25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201-3CCB-476F-95B8-640E14A88A15}"/>
                    </c:ext>
                  </c:extLst>
                </c:dPt>
                <c:dPt>
                  <c:idx val="25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203-3CCB-476F-95B8-640E14A88A15}"/>
                    </c:ext>
                  </c:extLst>
                </c:dPt>
                <c:dPt>
                  <c:idx val="25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205-3CCB-476F-95B8-640E14A88A15}"/>
                    </c:ext>
                  </c:extLst>
                </c:dPt>
                <c:dPt>
                  <c:idx val="25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207-3CCB-476F-95B8-640E14A88A15}"/>
                    </c:ext>
                  </c:extLst>
                </c:dPt>
                <c:dPt>
                  <c:idx val="26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209-3CCB-476F-95B8-640E14A88A15}"/>
                    </c:ext>
                  </c:extLst>
                </c:dPt>
                <c:dPt>
                  <c:idx val="26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20B-3CCB-476F-95B8-640E14A88A15}"/>
                    </c:ext>
                  </c:extLst>
                </c:dPt>
                <c:dPt>
                  <c:idx val="26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20D-3CCB-476F-95B8-640E14A88A15}"/>
                    </c:ext>
                  </c:extLst>
                </c:dPt>
                <c:dPt>
                  <c:idx val="26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20F-3CCB-476F-95B8-640E14A88A15}"/>
                    </c:ext>
                  </c:extLst>
                </c:dPt>
                <c:dPt>
                  <c:idx val="26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211-3CCB-476F-95B8-640E14A88A15}"/>
                    </c:ext>
                  </c:extLst>
                </c:dPt>
                <c:dPt>
                  <c:idx val="26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213-3CCB-476F-95B8-640E14A88A15}"/>
                    </c:ext>
                  </c:extLst>
                </c:dPt>
                <c:dPt>
                  <c:idx val="26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215-3CCB-476F-95B8-640E14A88A15}"/>
                    </c:ext>
                  </c:extLst>
                </c:dPt>
                <c:dPt>
                  <c:idx val="26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217-3CCB-476F-95B8-640E14A88A15}"/>
                    </c:ext>
                  </c:extLst>
                </c:dPt>
                <c:dPt>
                  <c:idx val="26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219-3CCB-476F-95B8-640E14A88A15}"/>
                    </c:ext>
                  </c:extLst>
                </c:dPt>
                <c:dPt>
                  <c:idx val="26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21B-3CCB-476F-95B8-640E14A88A15}"/>
                    </c:ext>
                  </c:extLst>
                </c:dPt>
                <c:dPt>
                  <c:idx val="27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21D-3CCB-476F-95B8-640E14A88A15}"/>
                    </c:ext>
                  </c:extLst>
                </c:dPt>
                <c:dPt>
                  <c:idx val="27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21F-3CCB-476F-95B8-640E14A88A15}"/>
                    </c:ext>
                  </c:extLst>
                </c:dPt>
                <c:dPt>
                  <c:idx val="27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221-3CCB-476F-95B8-640E14A88A15}"/>
                    </c:ext>
                  </c:extLst>
                </c:dPt>
                <c:dPt>
                  <c:idx val="27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223-3CCB-476F-95B8-640E14A88A15}"/>
                    </c:ext>
                  </c:extLst>
                </c:dPt>
                <c:dPt>
                  <c:idx val="27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225-3CCB-476F-95B8-640E14A88A15}"/>
                    </c:ext>
                  </c:extLst>
                </c:dPt>
                <c:dPt>
                  <c:idx val="27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227-3CCB-476F-95B8-640E14A88A15}"/>
                    </c:ext>
                  </c:extLst>
                </c:dPt>
                <c:dPt>
                  <c:idx val="27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229-3CCB-476F-95B8-640E14A88A15}"/>
                    </c:ext>
                  </c:extLst>
                </c:dPt>
                <c:dPt>
                  <c:idx val="27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22B-3CCB-476F-95B8-640E14A88A15}"/>
                    </c:ext>
                  </c:extLst>
                </c:dPt>
                <c:dPt>
                  <c:idx val="27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22D-3CCB-476F-95B8-640E14A88A15}"/>
                    </c:ext>
                  </c:extLst>
                </c:dPt>
                <c:dPt>
                  <c:idx val="27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22F-3CCB-476F-95B8-640E14A88A15}"/>
                    </c:ext>
                  </c:extLst>
                </c:dPt>
                <c:dPt>
                  <c:idx val="28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231-3CCB-476F-95B8-640E14A88A15}"/>
                    </c:ext>
                  </c:extLst>
                </c:dPt>
                <c:dPt>
                  <c:idx val="28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233-3CCB-476F-95B8-640E14A88A15}"/>
                    </c:ext>
                  </c:extLst>
                </c:dPt>
                <c:dPt>
                  <c:idx val="28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235-3CCB-476F-95B8-640E14A88A15}"/>
                    </c:ext>
                  </c:extLst>
                </c:dPt>
                <c:dPt>
                  <c:idx val="28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237-3CCB-476F-95B8-640E14A88A15}"/>
                    </c:ext>
                  </c:extLst>
                </c:dPt>
                <c:dPt>
                  <c:idx val="28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239-3CCB-476F-95B8-640E14A88A15}"/>
                    </c:ext>
                  </c:extLst>
                </c:dPt>
                <c:dPt>
                  <c:idx val="28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23B-3CCB-476F-95B8-640E14A88A15}"/>
                    </c:ext>
                  </c:extLst>
                </c:dPt>
                <c:dPt>
                  <c:idx val="28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23D-3CCB-476F-95B8-640E14A88A15}"/>
                    </c:ext>
                  </c:extLst>
                </c:dPt>
                <c:dPt>
                  <c:idx val="28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23F-3CCB-476F-95B8-640E14A88A15}"/>
                    </c:ext>
                  </c:extLst>
                </c:dPt>
                <c:dPt>
                  <c:idx val="28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241-3CCB-476F-95B8-640E14A88A15}"/>
                    </c:ext>
                  </c:extLst>
                </c:dPt>
                <c:dPt>
                  <c:idx val="28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243-3CCB-476F-95B8-640E14A88A15}"/>
                    </c:ext>
                  </c:extLst>
                </c:dPt>
                <c:dPt>
                  <c:idx val="29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245-3CCB-476F-95B8-640E14A88A15}"/>
                    </c:ext>
                  </c:extLst>
                </c:dPt>
                <c:dPt>
                  <c:idx val="29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247-3CCB-476F-95B8-640E14A88A15}"/>
                    </c:ext>
                  </c:extLst>
                </c:dPt>
                <c:dPt>
                  <c:idx val="29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249-3CCB-476F-95B8-640E14A88A15}"/>
                    </c:ext>
                  </c:extLst>
                </c:dPt>
                <c:dPt>
                  <c:idx val="29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24B-3CCB-476F-95B8-640E14A88A15}"/>
                    </c:ext>
                  </c:extLst>
                </c:dPt>
                <c:dPt>
                  <c:idx val="29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24D-3CCB-476F-95B8-640E14A88A15}"/>
                    </c:ext>
                  </c:extLst>
                </c:dPt>
                <c:dPt>
                  <c:idx val="29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24F-3CCB-476F-95B8-640E14A88A15}"/>
                    </c:ext>
                  </c:extLst>
                </c:dPt>
                <c:dPt>
                  <c:idx val="29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251-3CCB-476F-95B8-640E14A88A15}"/>
                    </c:ext>
                  </c:extLst>
                </c:dPt>
                <c:dPt>
                  <c:idx val="29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253-3CCB-476F-95B8-640E14A88A15}"/>
                    </c:ext>
                  </c:extLst>
                </c:dPt>
                <c:dPt>
                  <c:idx val="29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255-3CCB-476F-95B8-640E14A88A15}"/>
                    </c:ext>
                  </c:extLst>
                </c:dPt>
                <c:dPt>
                  <c:idx val="29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257-3CCB-476F-95B8-640E14A88A15}"/>
                    </c:ext>
                  </c:extLst>
                </c:dPt>
                <c:dPt>
                  <c:idx val="30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259-3CCB-476F-95B8-640E14A88A15}"/>
                    </c:ext>
                  </c:extLst>
                </c:dPt>
                <c:dPt>
                  <c:idx val="30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25B-3CCB-476F-95B8-640E14A88A15}"/>
                    </c:ext>
                  </c:extLst>
                </c:dPt>
                <c:dPt>
                  <c:idx val="30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25D-3CCB-476F-95B8-640E14A88A15}"/>
                    </c:ext>
                  </c:extLst>
                </c:dPt>
                <c:dPt>
                  <c:idx val="30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25F-3CCB-476F-95B8-640E14A88A15}"/>
                    </c:ext>
                  </c:extLst>
                </c:dPt>
                <c:dPt>
                  <c:idx val="30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261-3CCB-476F-95B8-640E14A88A15}"/>
                    </c:ext>
                  </c:extLst>
                </c:dPt>
                <c:dPt>
                  <c:idx val="30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263-3CCB-476F-95B8-640E14A88A15}"/>
                    </c:ext>
                  </c:extLst>
                </c:dPt>
                <c:dPt>
                  <c:idx val="30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265-3CCB-476F-95B8-640E14A88A15}"/>
                    </c:ext>
                  </c:extLst>
                </c:dPt>
                <c:dPt>
                  <c:idx val="30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267-3CCB-476F-95B8-640E14A88A15}"/>
                    </c:ext>
                  </c:extLst>
                </c:dPt>
                <c:dPt>
                  <c:idx val="30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269-3CCB-476F-95B8-640E14A88A15}"/>
                    </c:ext>
                  </c:extLst>
                </c:dPt>
                <c:dPt>
                  <c:idx val="30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26B-3CCB-476F-95B8-640E14A88A15}"/>
                    </c:ext>
                  </c:extLst>
                </c:dPt>
                <c:dPt>
                  <c:idx val="31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26D-3CCB-476F-95B8-640E14A88A15}"/>
                    </c:ext>
                  </c:extLst>
                </c:dPt>
                <c:dPt>
                  <c:idx val="31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26F-3CCB-476F-95B8-640E14A88A15}"/>
                    </c:ext>
                  </c:extLst>
                </c:dPt>
                <c:dPt>
                  <c:idx val="31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271-3CCB-476F-95B8-640E14A88A15}"/>
                    </c:ext>
                  </c:extLst>
                </c:dPt>
                <c:dPt>
                  <c:idx val="31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273-3CCB-476F-95B8-640E14A88A15}"/>
                    </c:ext>
                  </c:extLst>
                </c:dPt>
                <c:dPt>
                  <c:idx val="31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275-3CCB-476F-95B8-640E14A88A15}"/>
                    </c:ext>
                  </c:extLst>
                </c:dPt>
                <c:dPt>
                  <c:idx val="31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277-3CCB-476F-95B8-640E14A88A15}"/>
                    </c:ext>
                  </c:extLst>
                </c:dPt>
                <c:dPt>
                  <c:idx val="31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279-3CCB-476F-95B8-640E14A88A15}"/>
                    </c:ext>
                  </c:extLst>
                </c:dPt>
                <c:dPt>
                  <c:idx val="31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27B-3CCB-476F-95B8-640E14A88A15}"/>
                    </c:ext>
                  </c:extLst>
                </c:dPt>
                <c:dPt>
                  <c:idx val="31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27D-3CCB-476F-95B8-640E14A88A15}"/>
                    </c:ext>
                  </c:extLst>
                </c:dPt>
                <c:dPt>
                  <c:idx val="31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27F-3CCB-476F-95B8-640E14A88A15}"/>
                    </c:ext>
                  </c:extLst>
                </c:dPt>
                <c:dPt>
                  <c:idx val="32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281-3CCB-476F-95B8-640E14A88A15}"/>
                    </c:ext>
                  </c:extLst>
                </c:dPt>
                <c:dPt>
                  <c:idx val="32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283-3CCB-476F-95B8-640E14A88A15}"/>
                    </c:ext>
                  </c:extLst>
                </c:dPt>
                <c:dPt>
                  <c:idx val="32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285-3CCB-476F-95B8-640E14A88A15}"/>
                    </c:ext>
                  </c:extLst>
                </c:dPt>
                <c:dPt>
                  <c:idx val="32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287-3CCB-476F-95B8-640E14A88A15}"/>
                    </c:ext>
                  </c:extLst>
                </c:dPt>
                <c:dPt>
                  <c:idx val="32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289-3CCB-476F-95B8-640E14A88A15}"/>
                    </c:ext>
                  </c:extLst>
                </c:dPt>
                <c:dPt>
                  <c:idx val="32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28B-3CCB-476F-95B8-640E14A88A15}"/>
                    </c:ext>
                  </c:extLst>
                </c:dPt>
                <c:dPt>
                  <c:idx val="32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28D-3CCB-476F-95B8-640E14A88A15}"/>
                    </c:ext>
                  </c:extLst>
                </c:dPt>
                <c:dPt>
                  <c:idx val="32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28F-3CCB-476F-95B8-640E14A88A15}"/>
                    </c:ext>
                  </c:extLst>
                </c:dPt>
                <c:dPt>
                  <c:idx val="32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291-3CCB-476F-95B8-640E14A88A15}"/>
                    </c:ext>
                  </c:extLst>
                </c:dPt>
                <c:dPt>
                  <c:idx val="32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293-3CCB-476F-95B8-640E14A88A15}"/>
                    </c:ext>
                  </c:extLst>
                </c:dPt>
                <c:dPt>
                  <c:idx val="33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295-3CCB-476F-95B8-640E14A88A15}"/>
                    </c:ext>
                  </c:extLst>
                </c:dPt>
                <c:dPt>
                  <c:idx val="33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297-3CCB-476F-95B8-640E14A88A15}"/>
                    </c:ext>
                  </c:extLst>
                </c:dPt>
                <c:dPt>
                  <c:idx val="33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299-3CCB-476F-95B8-640E14A88A15}"/>
                    </c:ext>
                  </c:extLst>
                </c:dPt>
                <c:dPt>
                  <c:idx val="33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29B-3CCB-476F-95B8-640E14A88A15}"/>
                    </c:ext>
                  </c:extLst>
                </c:dPt>
                <c:dPt>
                  <c:idx val="33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29D-3CCB-476F-95B8-640E14A88A15}"/>
                    </c:ext>
                  </c:extLst>
                </c:dPt>
                <c:dPt>
                  <c:idx val="33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29F-3CCB-476F-95B8-640E14A88A15}"/>
                    </c:ext>
                  </c:extLst>
                </c:dPt>
                <c:dPt>
                  <c:idx val="33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2A1-3CCB-476F-95B8-640E14A88A15}"/>
                    </c:ext>
                  </c:extLst>
                </c:dPt>
                <c:dPt>
                  <c:idx val="33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2A3-3CCB-476F-95B8-640E14A88A15}"/>
                    </c:ext>
                  </c:extLst>
                </c:dPt>
                <c:dPt>
                  <c:idx val="33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2A5-3CCB-476F-95B8-640E14A88A15}"/>
                    </c:ext>
                  </c:extLst>
                </c:dPt>
                <c:dPt>
                  <c:idx val="33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2A7-3CCB-476F-95B8-640E14A88A15}"/>
                    </c:ext>
                  </c:extLst>
                </c:dPt>
                <c:dPt>
                  <c:idx val="34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2A9-3CCB-476F-95B8-640E14A88A15}"/>
                    </c:ext>
                  </c:extLst>
                </c:dPt>
                <c:dPt>
                  <c:idx val="34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2AB-3CCB-476F-95B8-640E14A88A15}"/>
                    </c:ext>
                  </c:extLst>
                </c:dPt>
                <c:dPt>
                  <c:idx val="34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2AD-3CCB-476F-95B8-640E14A88A15}"/>
                    </c:ext>
                  </c:extLst>
                </c:dPt>
                <c:dPt>
                  <c:idx val="34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2AF-3CCB-476F-95B8-640E14A88A15}"/>
                    </c:ext>
                  </c:extLst>
                </c:dPt>
                <c:dPt>
                  <c:idx val="34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2B1-3CCB-476F-95B8-640E14A88A15}"/>
                    </c:ext>
                  </c:extLst>
                </c:dPt>
                <c:dPt>
                  <c:idx val="34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2B3-3CCB-476F-95B8-640E14A88A15}"/>
                    </c:ext>
                  </c:extLst>
                </c:dPt>
                <c:dPt>
                  <c:idx val="34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2B5-3CCB-476F-95B8-640E14A88A15}"/>
                    </c:ext>
                  </c:extLst>
                </c:dPt>
                <c:dPt>
                  <c:idx val="34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2B7-3CCB-476F-95B8-640E14A88A15}"/>
                    </c:ext>
                  </c:extLst>
                </c:dPt>
                <c:dPt>
                  <c:idx val="34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2B9-3CCB-476F-95B8-640E14A88A15}"/>
                    </c:ext>
                  </c:extLst>
                </c:dPt>
                <c:dPt>
                  <c:idx val="34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2BB-3CCB-476F-95B8-640E14A88A15}"/>
                    </c:ext>
                  </c:extLst>
                </c:dPt>
                <c:dPt>
                  <c:idx val="35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2BD-3CCB-476F-95B8-640E14A88A15}"/>
                    </c:ext>
                  </c:extLst>
                </c:dPt>
                <c:dPt>
                  <c:idx val="35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2BF-3CCB-476F-95B8-640E14A88A15}"/>
                    </c:ext>
                  </c:extLst>
                </c:dPt>
                <c:dPt>
                  <c:idx val="35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2C1-3CCB-476F-95B8-640E14A88A15}"/>
                    </c:ext>
                  </c:extLst>
                </c:dPt>
                <c:dPt>
                  <c:idx val="35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2C3-3CCB-476F-95B8-640E14A88A15}"/>
                    </c:ext>
                  </c:extLst>
                </c:dPt>
                <c:dPt>
                  <c:idx val="35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2C5-3CCB-476F-95B8-640E14A88A15}"/>
                    </c:ext>
                  </c:extLst>
                </c:dPt>
                <c:dPt>
                  <c:idx val="35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2C7-3CCB-476F-95B8-640E14A88A15}"/>
                    </c:ext>
                  </c:extLst>
                </c:dPt>
                <c:dPt>
                  <c:idx val="35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2C9-3CCB-476F-95B8-640E14A88A15}"/>
                    </c:ext>
                  </c:extLst>
                </c:dPt>
                <c:dPt>
                  <c:idx val="35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2CB-3CCB-476F-95B8-640E14A88A15}"/>
                    </c:ext>
                  </c:extLst>
                </c:dPt>
                <c:dPt>
                  <c:idx val="35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2CD-3CCB-476F-95B8-640E14A88A15}"/>
                    </c:ext>
                  </c:extLst>
                </c:dPt>
                <c:dPt>
                  <c:idx val="35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2CF-3CCB-476F-95B8-640E14A88A15}"/>
                    </c:ext>
                  </c:extLst>
                </c:dPt>
                <c:dPt>
                  <c:idx val="36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2D1-3CCB-476F-95B8-640E14A88A15}"/>
                    </c:ext>
                  </c:extLst>
                </c:dPt>
                <c:dPt>
                  <c:idx val="36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2D3-3CCB-476F-95B8-640E14A88A15}"/>
                    </c:ext>
                  </c:extLst>
                </c:dPt>
                <c:dPt>
                  <c:idx val="36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2D5-3CCB-476F-95B8-640E14A88A15}"/>
                    </c:ext>
                  </c:extLst>
                </c:dPt>
                <c:dPt>
                  <c:idx val="36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2D7-3CCB-476F-95B8-640E14A88A15}"/>
                    </c:ext>
                  </c:extLst>
                </c:dPt>
                <c:dPt>
                  <c:idx val="36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2D9-3CCB-476F-95B8-640E14A88A15}"/>
                    </c:ext>
                  </c:extLst>
                </c:dPt>
                <c:dPt>
                  <c:idx val="36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2DB-3CCB-476F-95B8-640E14A88A15}"/>
                    </c:ext>
                  </c:extLst>
                </c:dPt>
                <c:dPt>
                  <c:idx val="36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2DD-3CCB-476F-95B8-640E14A88A15}"/>
                    </c:ext>
                  </c:extLst>
                </c:dPt>
                <c:dPt>
                  <c:idx val="36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2DF-3CCB-476F-95B8-640E14A88A15}"/>
                    </c:ext>
                  </c:extLst>
                </c:dPt>
                <c:dPt>
                  <c:idx val="36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2E1-3CCB-476F-95B8-640E14A88A15}"/>
                    </c:ext>
                  </c:extLst>
                </c:dPt>
                <c:dPt>
                  <c:idx val="36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2E3-3CCB-476F-95B8-640E14A88A15}"/>
                    </c:ext>
                  </c:extLst>
                </c:dPt>
                <c:dPt>
                  <c:idx val="37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2E5-3CCB-476F-95B8-640E14A88A15}"/>
                    </c:ext>
                  </c:extLst>
                </c:dPt>
                <c:dPt>
                  <c:idx val="37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2E7-3CCB-476F-95B8-640E14A88A15}"/>
                    </c:ext>
                  </c:extLst>
                </c:dPt>
                <c:dPt>
                  <c:idx val="37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2E9-3CCB-476F-95B8-640E14A88A15}"/>
                    </c:ext>
                  </c:extLst>
                </c:dPt>
                <c:dPt>
                  <c:idx val="37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2EB-3CCB-476F-95B8-640E14A88A15}"/>
                    </c:ext>
                  </c:extLst>
                </c:dPt>
                <c:dPt>
                  <c:idx val="37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2ED-3CCB-476F-95B8-640E14A88A15}"/>
                    </c:ext>
                  </c:extLst>
                </c:dPt>
                <c:dPt>
                  <c:idx val="37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2EF-3CCB-476F-95B8-640E14A88A15}"/>
                    </c:ext>
                  </c:extLst>
                </c:dPt>
                <c:dPt>
                  <c:idx val="37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2F1-3CCB-476F-95B8-640E14A88A15}"/>
                    </c:ext>
                  </c:extLst>
                </c:dPt>
                <c:dPt>
                  <c:idx val="37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2F3-3CCB-476F-95B8-640E14A88A15}"/>
                    </c:ext>
                  </c:extLst>
                </c:dPt>
                <c:dPt>
                  <c:idx val="37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2F5-3CCB-476F-95B8-640E14A88A15}"/>
                    </c:ext>
                  </c:extLst>
                </c:dPt>
                <c:dPt>
                  <c:idx val="37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2F7-3CCB-476F-95B8-640E14A88A15}"/>
                    </c:ext>
                  </c:extLst>
                </c:dPt>
                <c:dPt>
                  <c:idx val="38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2F9-3CCB-476F-95B8-640E14A88A15}"/>
                    </c:ext>
                  </c:extLst>
                </c:dPt>
                <c:dPt>
                  <c:idx val="38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2FB-3CCB-476F-95B8-640E14A88A15}"/>
                    </c:ext>
                  </c:extLst>
                </c:dPt>
                <c:dPt>
                  <c:idx val="38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2FD-3CCB-476F-95B8-640E14A88A15}"/>
                    </c:ext>
                  </c:extLst>
                </c:dPt>
                <c:dPt>
                  <c:idx val="38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2FF-3CCB-476F-95B8-640E14A88A15}"/>
                    </c:ext>
                  </c:extLst>
                </c:dPt>
                <c:dPt>
                  <c:idx val="38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301-3CCB-476F-95B8-640E14A88A15}"/>
                    </c:ext>
                  </c:extLst>
                </c:dPt>
                <c:dPt>
                  <c:idx val="38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303-3CCB-476F-95B8-640E14A88A15}"/>
                    </c:ext>
                  </c:extLst>
                </c:dPt>
                <c:dPt>
                  <c:idx val="38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305-3CCB-476F-95B8-640E14A88A15}"/>
                    </c:ext>
                  </c:extLst>
                </c:dPt>
                <c:dPt>
                  <c:idx val="38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307-3CCB-476F-95B8-640E14A88A15}"/>
                    </c:ext>
                  </c:extLst>
                </c:dPt>
                <c:dPt>
                  <c:idx val="38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309-3CCB-476F-95B8-640E14A88A15}"/>
                    </c:ext>
                  </c:extLst>
                </c:dPt>
                <c:dPt>
                  <c:idx val="38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30B-3CCB-476F-95B8-640E14A88A15}"/>
                    </c:ext>
                  </c:extLst>
                </c:dPt>
                <c:dPt>
                  <c:idx val="39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30D-3CCB-476F-95B8-640E14A88A15}"/>
                    </c:ext>
                  </c:extLst>
                </c:dPt>
                <c:dPt>
                  <c:idx val="39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30F-3CCB-476F-95B8-640E14A88A15}"/>
                    </c:ext>
                  </c:extLst>
                </c:dPt>
                <c:dPt>
                  <c:idx val="39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311-3CCB-476F-95B8-640E14A88A15}"/>
                    </c:ext>
                  </c:extLst>
                </c:dPt>
                <c:dPt>
                  <c:idx val="39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313-3CCB-476F-95B8-640E14A88A15}"/>
                    </c:ext>
                  </c:extLst>
                </c:dPt>
                <c:dPt>
                  <c:idx val="39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315-3CCB-476F-95B8-640E14A88A15}"/>
                    </c:ext>
                  </c:extLst>
                </c:dPt>
                <c:dPt>
                  <c:idx val="39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317-3CCB-476F-95B8-640E14A88A15}"/>
                    </c:ext>
                  </c:extLst>
                </c:dPt>
                <c:dPt>
                  <c:idx val="39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319-3CCB-476F-95B8-640E14A88A15}"/>
                    </c:ext>
                  </c:extLst>
                </c:dPt>
                <c:dPt>
                  <c:idx val="39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31B-3CCB-476F-95B8-640E14A88A15}"/>
                    </c:ext>
                  </c:extLst>
                </c:dPt>
                <c:dPt>
                  <c:idx val="39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31D-3CCB-476F-95B8-640E14A88A15}"/>
                    </c:ext>
                  </c:extLst>
                </c:dPt>
                <c:dPt>
                  <c:idx val="39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31F-3CCB-476F-95B8-640E14A88A15}"/>
                    </c:ext>
                  </c:extLst>
                </c:dPt>
                <c:dPt>
                  <c:idx val="40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321-3CCB-476F-95B8-640E14A88A15}"/>
                    </c:ext>
                  </c:extLst>
                </c:dPt>
                <c:dPt>
                  <c:idx val="40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323-3CCB-476F-95B8-640E14A88A15}"/>
                    </c:ext>
                  </c:extLst>
                </c:dPt>
                <c:dPt>
                  <c:idx val="40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325-3CCB-476F-95B8-640E14A88A15}"/>
                    </c:ext>
                  </c:extLst>
                </c:dPt>
                <c:dPt>
                  <c:idx val="40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327-3CCB-476F-95B8-640E14A88A15}"/>
                    </c:ext>
                  </c:extLst>
                </c:dPt>
                <c:dPt>
                  <c:idx val="40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329-3CCB-476F-95B8-640E14A88A15}"/>
                    </c:ext>
                  </c:extLst>
                </c:dPt>
                <c:dPt>
                  <c:idx val="40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32B-3CCB-476F-95B8-640E14A88A15}"/>
                    </c:ext>
                  </c:extLst>
                </c:dPt>
                <c:dPt>
                  <c:idx val="40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32D-3CCB-476F-95B8-640E14A88A15}"/>
                    </c:ext>
                  </c:extLst>
                </c:dPt>
                <c:dPt>
                  <c:idx val="40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32F-3CCB-476F-95B8-640E14A88A15}"/>
                    </c:ext>
                  </c:extLst>
                </c:dPt>
                <c:dPt>
                  <c:idx val="40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331-3CCB-476F-95B8-640E14A88A15}"/>
                    </c:ext>
                  </c:extLst>
                </c:dPt>
                <c:dPt>
                  <c:idx val="40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333-3CCB-476F-95B8-640E14A88A15}"/>
                    </c:ext>
                  </c:extLst>
                </c:dPt>
                <c:dPt>
                  <c:idx val="41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335-3CCB-476F-95B8-640E14A88A15}"/>
                    </c:ext>
                  </c:extLst>
                </c:dPt>
                <c:dPt>
                  <c:idx val="41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337-3CCB-476F-95B8-640E14A88A15}"/>
                    </c:ext>
                  </c:extLst>
                </c:dPt>
                <c:dPt>
                  <c:idx val="41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339-3CCB-476F-95B8-640E14A88A15}"/>
                    </c:ext>
                  </c:extLst>
                </c:dPt>
                <c:dPt>
                  <c:idx val="41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33B-3CCB-476F-95B8-640E14A88A15}"/>
                    </c:ext>
                  </c:extLst>
                </c:dPt>
                <c:dPt>
                  <c:idx val="41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33D-3CCB-476F-95B8-640E14A88A15}"/>
                    </c:ext>
                  </c:extLst>
                </c:dPt>
                <c:dPt>
                  <c:idx val="41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33F-3CCB-476F-95B8-640E14A88A15}"/>
                    </c:ext>
                  </c:extLst>
                </c:dPt>
                <c:dPt>
                  <c:idx val="41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341-3CCB-476F-95B8-640E14A88A15}"/>
                    </c:ext>
                  </c:extLst>
                </c:dPt>
                <c:dPt>
                  <c:idx val="41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343-3CCB-476F-95B8-640E14A88A15}"/>
                    </c:ext>
                  </c:extLst>
                </c:dPt>
                <c:dPt>
                  <c:idx val="41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345-3CCB-476F-95B8-640E14A88A15}"/>
                    </c:ext>
                  </c:extLst>
                </c:dPt>
                <c:dPt>
                  <c:idx val="41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347-3CCB-476F-95B8-640E14A88A15}"/>
                    </c:ext>
                  </c:extLst>
                </c:dPt>
                <c:dPt>
                  <c:idx val="42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349-3CCB-476F-95B8-640E14A88A15}"/>
                    </c:ext>
                  </c:extLst>
                </c:dPt>
                <c:dPt>
                  <c:idx val="42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34B-3CCB-476F-95B8-640E14A88A15}"/>
                    </c:ext>
                  </c:extLst>
                </c:dPt>
                <c:dPt>
                  <c:idx val="42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34D-3CCB-476F-95B8-640E14A88A15}"/>
                    </c:ext>
                  </c:extLst>
                </c:dPt>
                <c:dPt>
                  <c:idx val="42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34F-3CCB-476F-95B8-640E14A88A15}"/>
                    </c:ext>
                  </c:extLst>
                </c:dPt>
                <c:dPt>
                  <c:idx val="42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351-3CCB-476F-95B8-640E14A88A15}"/>
                    </c:ext>
                  </c:extLst>
                </c:dPt>
                <c:dPt>
                  <c:idx val="42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353-3CCB-476F-95B8-640E14A88A15}"/>
                    </c:ext>
                  </c:extLst>
                </c:dPt>
                <c:dPt>
                  <c:idx val="42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355-3CCB-476F-95B8-640E14A88A15}"/>
                    </c:ext>
                  </c:extLst>
                </c:dPt>
                <c:dPt>
                  <c:idx val="42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357-3CCB-476F-95B8-640E14A88A15}"/>
                    </c:ext>
                  </c:extLst>
                </c:dPt>
                <c:dPt>
                  <c:idx val="42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359-3CCB-476F-95B8-640E14A88A15}"/>
                    </c:ext>
                  </c:extLst>
                </c:dPt>
                <c:dPt>
                  <c:idx val="42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35B-3CCB-476F-95B8-640E14A88A15}"/>
                    </c:ext>
                  </c:extLst>
                </c:dPt>
                <c:dPt>
                  <c:idx val="43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35D-3CCB-476F-95B8-640E14A88A15}"/>
                    </c:ext>
                  </c:extLst>
                </c:dPt>
                <c:dPt>
                  <c:idx val="43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35F-3CCB-476F-95B8-640E14A88A15}"/>
                    </c:ext>
                  </c:extLst>
                </c:dPt>
                <c:dPt>
                  <c:idx val="43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361-3CCB-476F-95B8-640E14A88A15}"/>
                    </c:ext>
                  </c:extLst>
                </c:dPt>
                <c:dPt>
                  <c:idx val="43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363-3CCB-476F-95B8-640E14A88A15}"/>
                    </c:ext>
                  </c:extLst>
                </c:dPt>
                <c:dPt>
                  <c:idx val="43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365-3CCB-476F-95B8-640E14A88A15}"/>
                    </c:ext>
                  </c:extLst>
                </c:dPt>
                <c:dPt>
                  <c:idx val="43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367-3CCB-476F-95B8-640E14A88A15}"/>
                    </c:ext>
                  </c:extLst>
                </c:dPt>
                <c:dPt>
                  <c:idx val="43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369-3CCB-476F-95B8-640E14A88A15}"/>
                    </c:ext>
                  </c:extLst>
                </c:dPt>
                <c:dPt>
                  <c:idx val="43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36B-3CCB-476F-95B8-640E14A88A15}"/>
                    </c:ext>
                  </c:extLst>
                </c:dPt>
                <c:dPt>
                  <c:idx val="43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36D-3CCB-476F-95B8-640E14A88A15}"/>
                    </c:ext>
                  </c:extLst>
                </c:dPt>
                <c:dPt>
                  <c:idx val="43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36F-3CCB-476F-95B8-640E14A88A15}"/>
                    </c:ext>
                  </c:extLst>
                </c:dPt>
                <c:dPt>
                  <c:idx val="44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371-3CCB-476F-95B8-640E14A88A15}"/>
                    </c:ext>
                  </c:extLst>
                </c:dPt>
                <c:dPt>
                  <c:idx val="44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373-3CCB-476F-95B8-640E14A88A15}"/>
                    </c:ext>
                  </c:extLst>
                </c:dPt>
                <c:dPt>
                  <c:idx val="44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375-3CCB-476F-95B8-640E14A88A15}"/>
                    </c:ext>
                  </c:extLst>
                </c:dPt>
                <c:dPt>
                  <c:idx val="44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377-3CCB-476F-95B8-640E14A88A15}"/>
                    </c:ext>
                  </c:extLst>
                </c:dPt>
                <c:dPt>
                  <c:idx val="44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379-3CCB-476F-95B8-640E14A88A15}"/>
                    </c:ext>
                  </c:extLst>
                </c:dPt>
                <c:dPt>
                  <c:idx val="44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37B-3CCB-476F-95B8-640E14A88A15}"/>
                    </c:ext>
                  </c:extLst>
                </c:dPt>
                <c:dPt>
                  <c:idx val="44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37D-3CCB-476F-95B8-640E14A88A15}"/>
                    </c:ext>
                  </c:extLst>
                </c:dPt>
                <c:dPt>
                  <c:idx val="44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37F-3CCB-476F-95B8-640E14A88A15}"/>
                    </c:ext>
                  </c:extLst>
                </c:dPt>
                <c:dPt>
                  <c:idx val="44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381-3CCB-476F-95B8-640E14A88A15}"/>
                    </c:ext>
                  </c:extLst>
                </c:dPt>
                <c:dPt>
                  <c:idx val="44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383-3CCB-476F-95B8-640E14A88A15}"/>
                    </c:ext>
                  </c:extLst>
                </c:dPt>
                <c:dPt>
                  <c:idx val="45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385-3CCB-476F-95B8-640E14A88A15}"/>
                    </c:ext>
                  </c:extLst>
                </c:dPt>
                <c:dPt>
                  <c:idx val="45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387-3CCB-476F-95B8-640E14A88A15}"/>
                    </c:ext>
                  </c:extLst>
                </c:dPt>
                <c:dPt>
                  <c:idx val="45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389-3CCB-476F-95B8-640E14A88A15}"/>
                    </c:ext>
                  </c:extLst>
                </c:dPt>
                <c:dPt>
                  <c:idx val="45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38B-3CCB-476F-95B8-640E14A88A15}"/>
                    </c:ext>
                  </c:extLst>
                </c:dPt>
                <c:dPt>
                  <c:idx val="45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38D-3CCB-476F-95B8-640E14A88A15}"/>
                    </c:ext>
                  </c:extLst>
                </c:dPt>
                <c:dPt>
                  <c:idx val="45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38F-3CCB-476F-95B8-640E14A88A15}"/>
                    </c:ext>
                  </c:extLst>
                </c:dPt>
                <c:dPt>
                  <c:idx val="45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391-3CCB-476F-95B8-640E14A88A15}"/>
                    </c:ext>
                  </c:extLst>
                </c:dPt>
                <c:dPt>
                  <c:idx val="45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393-3CCB-476F-95B8-640E14A88A15}"/>
                    </c:ext>
                  </c:extLst>
                </c:dPt>
                <c:dPt>
                  <c:idx val="45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395-3CCB-476F-95B8-640E14A88A15}"/>
                    </c:ext>
                  </c:extLst>
                </c:dPt>
                <c:dPt>
                  <c:idx val="45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397-3CCB-476F-95B8-640E14A88A15}"/>
                    </c:ext>
                  </c:extLst>
                </c:dPt>
                <c:dPt>
                  <c:idx val="46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399-3CCB-476F-95B8-640E14A88A15}"/>
                    </c:ext>
                  </c:extLst>
                </c:dPt>
                <c:dPt>
                  <c:idx val="46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39B-3CCB-476F-95B8-640E14A88A15}"/>
                    </c:ext>
                  </c:extLst>
                </c:dPt>
                <c:dPt>
                  <c:idx val="46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39D-3CCB-476F-95B8-640E14A88A15}"/>
                    </c:ext>
                  </c:extLst>
                </c:dPt>
                <c:dPt>
                  <c:idx val="46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39F-3CCB-476F-95B8-640E14A88A15}"/>
                    </c:ext>
                  </c:extLst>
                </c:dPt>
                <c:dPt>
                  <c:idx val="46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3A1-3CCB-476F-95B8-640E14A88A15}"/>
                    </c:ext>
                  </c:extLst>
                </c:dPt>
                <c:dPt>
                  <c:idx val="46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3A3-3CCB-476F-95B8-640E14A88A15}"/>
                    </c:ext>
                  </c:extLst>
                </c:dPt>
                <c:dPt>
                  <c:idx val="46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3A5-3CCB-476F-95B8-640E14A88A15}"/>
                    </c:ext>
                  </c:extLst>
                </c:dPt>
                <c:dPt>
                  <c:idx val="46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3A7-3CCB-476F-95B8-640E14A88A15}"/>
                    </c:ext>
                  </c:extLst>
                </c:dPt>
                <c:dPt>
                  <c:idx val="46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3A9-3CCB-476F-95B8-640E14A88A15}"/>
                    </c:ext>
                  </c:extLst>
                </c:dPt>
                <c:dPt>
                  <c:idx val="46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3AB-3CCB-476F-95B8-640E14A88A15}"/>
                    </c:ext>
                  </c:extLst>
                </c:dPt>
                <c:dPt>
                  <c:idx val="47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3AD-3CCB-476F-95B8-640E14A88A15}"/>
                    </c:ext>
                  </c:extLst>
                </c:dPt>
                <c:dPt>
                  <c:idx val="47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3AF-3CCB-476F-95B8-640E14A88A15}"/>
                    </c:ext>
                  </c:extLst>
                </c:dPt>
                <c:dPt>
                  <c:idx val="47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3B1-3CCB-476F-95B8-640E14A88A15}"/>
                    </c:ext>
                  </c:extLst>
                </c:dPt>
                <c:dPt>
                  <c:idx val="47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3B3-3CCB-476F-95B8-640E14A88A15}"/>
                    </c:ext>
                  </c:extLst>
                </c:dPt>
                <c:dPt>
                  <c:idx val="47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3B5-3CCB-476F-95B8-640E14A88A15}"/>
                    </c:ext>
                  </c:extLst>
                </c:dPt>
                <c:dPt>
                  <c:idx val="47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3B7-3CCB-476F-95B8-640E14A88A15}"/>
                    </c:ext>
                  </c:extLst>
                </c:dPt>
                <c:dPt>
                  <c:idx val="47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3B9-3CCB-476F-95B8-640E14A88A15}"/>
                    </c:ext>
                  </c:extLst>
                </c:dPt>
                <c:dPt>
                  <c:idx val="47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3BB-3CCB-476F-95B8-640E14A88A15}"/>
                    </c:ext>
                  </c:extLst>
                </c:dPt>
                <c:dPt>
                  <c:idx val="47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3BD-3CCB-476F-95B8-640E14A88A15}"/>
                    </c:ext>
                  </c:extLst>
                </c:dPt>
                <c:dPt>
                  <c:idx val="47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3BF-3CCB-476F-95B8-640E14A88A15}"/>
                    </c:ext>
                  </c:extLst>
                </c:dPt>
                <c:dPt>
                  <c:idx val="48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3C1-3CCB-476F-95B8-640E14A88A15}"/>
                    </c:ext>
                  </c:extLst>
                </c:dPt>
                <c:dPt>
                  <c:idx val="48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3C3-3CCB-476F-95B8-640E14A88A15}"/>
                    </c:ext>
                  </c:extLst>
                </c:dPt>
                <c:dPt>
                  <c:idx val="48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3C5-3CCB-476F-95B8-640E14A88A15}"/>
                    </c:ext>
                  </c:extLst>
                </c:dPt>
                <c:dPt>
                  <c:idx val="48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3C7-3CCB-476F-95B8-640E14A88A15}"/>
                    </c:ext>
                  </c:extLst>
                </c:dPt>
                <c:dPt>
                  <c:idx val="48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3C9-3CCB-476F-95B8-640E14A88A15}"/>
                    </c:ext>
                  </c:extLst>
                </c:dPt>
                <c:dPt>
                  <c:idx val="48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3CB-3CCB-476F-95B8-640E14A88A15}"/>
                    </c:ext>
                  </c:extLst>
                </c:dPt>
                <c:dPt>
                  <c:idx val="48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3CD-3CCB-476F-95B8-640E14A88A15}"/>
                    </c:ext>
                  </c:extLst>
                </c:dPt>
                <c:dPt>
                  <c:idx val="48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3CF-3CCB-476F-95B8-640E14A88A15}"/>
                    </c:ext>
                  </c:extLst>
                </c:dPt>
                <c:dPt>
                  <c:idx val="48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3D1-3CCB-476F-95B8-640E14A88A15}"/>
                    </c:ext>
                  </c:extLst>
                </c:dPt>
                <c:dPt>
                  <c:idx val="48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3D3-3CCB-476F-95B8-640E14A88A15}"/>
                    </c:ext>
                  </c:extLst>
                </c:dPt>
                <c:dPt>
                  <c:idx val="49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3D5-3CCB-476F-95B8-640E14A88A15}"/>
                    </c:ext>
                  </c:extLst>
                </c:dPt>
                <c:dPt>
                  <c:idx val="49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3D7-3CCB-476F-95B8-640E14A88A15}"/>
                    </c:ext>
                  </c:extLst>
                </c:dPt>
                <c:dPt>
                  <c:idx val="49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3D9-3CCB-476F-95B8-640E14A88A15}"/>
                    </c:ext>
                  </c:extLst>
                </c:dPt>
                <c:dPt>
                  <c:idx val="49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3DB-3CCB-476F-95B8-640E14A88A15}"/>
                    </c:ext>
                  </c:extLst>
                </c:dPt>
                <c:dPt>
                  <c:idx val="49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3DD-3CCB-476F-95B8-640E14A88A15}"/>
                    </c:ext>
                  </c:extLst>
                </c:dPt>
                <c:dPt>
                  <c:idx val="49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3DF-3CCB-476F-95B8-640E14A88A15}"/>
                    </c:ext>
                  </c:extLst>
                </c:dPt>
                <c:dPt>
                  <c:idx val="49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3E1-3CCB-476F-95B8-640E14A88A15}"/>
                    </c:ext>
                  </c:extLst>
                </c:dPt>
                <c:dPt>
                  <c:idx val="49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3E3-3CCB-476F-95B8-640E14A88A15}"/>
                    </c:ext>
                  </c:extLst>
                </c:dPt>
                <c:dPt>
                  <c:idx val="49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3E5-3CCB-476F-95B8-640E14A88A15}"/>
                    </c:ext>
                  </c:extLst>
                </c:dPt>
                <c:dPt>
                  <c:idx val="49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3E7-3CCB-476F-95B8-640E14A88A15}"/>
                    </c:ext>
                  </c:extLst>
                </c:dPt>
                <c:dPt>
                  <c:idx val="50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3E9-3CCB-476F-95B8-640E14A88A15}"/>
                    </c:ext>
                  </c:extLst>
                </c:dPt>
                <c:dPt>
                  <c:idx val="50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3EB-3CCB-476F-95B8-640E14A88A15}"/>
                    </c:ext>
                  </c:extLst>
                </c:dPt>
                <c:dPt>
                  <c:idx val="50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3ED-3CCB-476F-95B8-640E14A88A15}"/>
                    </c:ext>
                  </c:extLst>
                </c:dPt>
                <c:dPt>
                  <c:idx val="50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3EF-3CCB-476F-95B8-640E14A88A15}"/>
                    </c:ext>
                  </c:extLst>
                </c:dPt>
                <c:dPt>
                  <c:idx val="50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3F1-3CCB-476F-95B8-640E14A88A15}"/>
                    </c:ext>
                  </c:extLst>
                </c:dPt>
                <c:dPt>
                  <c:idx val="50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3F3-3CCB-476F-95B8-640E14A88A15}"/>
                    </c:ext>
                  </c:extLst>
                </c:dPt>
                <c:dPt>
                  <c:idx val="50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3F5-3CCB-476F-95B8-640E14A88A15}"/>
                    </c:ext>
                  </c:extLst>
                </c:dPt>
                <c:dPt>
                  <c:idx val="50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3F7-3CCB-476F-95B8-640E14A88A15}"/>
                    </c:ext>
                  </c:extLst>
                </c:dPt>
                <c:dPt>
                  <c:idx val="50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3F9-3CCB-476F-95B8-640E14A88A15}"/>
                    </c:ext>
                  </c:extLst>
                </c:dPt>
                <c:dPt>
                  <c:idx val="50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3FB-3CCB-476F-95B8-640E14A88A15}"/>
                    </c:ext>
                  </c:extLst>
                </c:dPt>
                <c:dPt>
                  <c:idx val="51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3FD-3CCB-476F-95B8-640E14A88A15}"/>
                    </c:ext>
                  </c:extLst>
                </c:dPt>
                <c:dPt>
                  <c:idx val="51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3FF-3CCB-476F-95B8-640E14A88A15}"/>
                    </c:ext>
                  </c:extLst>
                </c:dPt>
                <c:dPt>
                  <c:idx val="51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401-3CCB-476F-95B8-640E14A88A15}"/>
                    </c:ext>
                  </c:extLst>
                </c:dPt>
                <c:dPt>
                  <c:idx val="51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403-3CCB-476F-95B8-640E14A88A15}"/>
                    </c:ext>
                  </c:extLst>
                </c:dPt>
                <c:dPt>
                  <c:idx val="51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405-3CCB-476F-95B8-640E14A88A15}"/>
                    </c:ext>
                  </c:extLst>
                </c:dPt>
                <c:dPt>
                  <c:idx val="51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407-3CCB-476F-95B8-640E14A88A15}"/>
                    </c:ext>
                  </c:extLst>
                </c:dPt>
                <c:dPt>
                  <c:idx val="51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409-3CCB-476F-95B8-640E14A88A15}"/>
                    </c:ext>
                  </c:extLst>
                </c:dPt>
                <c:dPt>
                  <c:idx val="51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40B-3CCB-476F-95B8-640E14A88A15}"/>
                    </c:ext>
                  </c:extLst>
                </c:dPt>
                <c:dPt>
                  <c:idx val="51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40D-3CCB-476F-95B8-640E14A88A15}"/>
                    </c:ext>
                  </c:extLst>
                </c:dPt>
                <c:dPt>
                  <c:idx val="51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40F-3CCB-476F-95B8-640E14A88A15}"/>
                    </c:ext>
                  </c:extLst>
                </c:dPt>
                <c:dPt>
                  <c:idx val="52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411-3CCB-476F-95B8-640E14A88A15}"/>
                    </c:ext>
                  </c:extLst>
                </c:dPt>
                <c:dPt>
                  <c:idx val="52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413-3CCB-476F-95B8-640E14A88A15}"/>
                    </c:ext>
                  </c:extLst>
                </c:dPt>
                <c:dPt>
                  <c:idx val="52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415-3CCB-476F-95B8-640E14A88A15}"/>
                    </c:ext>
                  </c:extLst>
                </c:dPt>
                <c:dPt>
                  <c:idx val="52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417-3CCB-476F-95B8-640E14A88A15}"/>
                    </c:ext>
                  </c:extLst>
                </c:dPt>
                <c:dPt>
                  <c:idx val="52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419-3CCB-476F-95B8-640E14A88A15}"/>
                    </c:ext>
                  </c:extLst>
                </c:dPt>
                <c:dPt>
                  <c:idx val="52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41B-3CCB-476F-95B8-640E14A88A15}"/>
                    </c:ext>
                  </c:extLst>
                </c:dPt>
                <c:dPt>
                  <c:idx val="52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41D-3CCB-476F-95B8-640E14A88A15}"/>
                    </c:ext>
                  </c:extLst>
                </c:dPt>
                <c:dPt>
                  <c:idx val="52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41F-3CCB-476F-95B8-640E14A88A15}"/>
                    </c:ext>
                  </c:extLst>
                </c:dPt>
                <c:dPt>
                  <c:idx val="52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421-3CCB-476F-95B8-640E14A88A15}"/>
                    </c:ext>
                  </c:extLst>
                </c:dPt>
                <c:dPt>
                  <c:idx val="52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423-3CCB-476F-95B8-640E14A88A15}"/>
                    </c:ext>
                  </c:extLst>
                </c:dPt>
                <c:dPt>
                  <c:idx val="53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425-3CCB-476F-95B8-640E14A88A15}"/>
                    </c:ext>
                  </c:extLst>
                </c:dPt>
                <c:dPt>
                  <c:idx val="53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427-3CCB-476F-95B8-640E14A88A15}"/>
                    </c:ext>
                  </c:extLst>
                </c:dPt>
                <c:dPt>
                  <c:idx val="53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429-3CCB-476F-95B8-640E14A88A15}"/>
                    </c:ext>
                  </c:extLst>
                </c:dPt>
                <c:dPt>
                  <c:idx val="53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42B-3CCB-476F-95B8-640E14A88A15}"/>
                    </c:ext>
                  </c:extLst>
                </c:dPt>
                <c:dPt>
                  <c:idx val="53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42D-3CCB-476F-95B8-640E14A88A15}"/>
                    </c:ext>
                  </c:extLst>
                </c:dPt>
                <c:dPt>
                  <c:idx val="53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42F-3CCB-476F-95B8-640E14A88A15}"/>
                    </c:ext>
                  </c:extLst>
                </c:dPt>
                <c:dPt>
                  <c:idx val="53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431-3CCB-476F-95B8-640E14A88A15}"/>
                    </c:ext>
                  </c:extLst>
                </c:dPt>
                <c:dPt>
                  <c:idx val="53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433-3CCB-476F-95B8-640E14A88A15}"/>
                    </c:ext>
                  </c:extLst>
                </c:dPt>
                <c:dPt>
                  <c:idx val="53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435-3CCB-476F-95B8-640E14A88A15}"/>
                    </c:ext>
                  </c:extLst>
                </c:dPt>
                <c:dPt>
                  <c:idx val="53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437-3CCB-476F-95B8-640E14A88A15}"/>
                    </c:ext>
                  </c:extLst>
                </c:dPt>
                <c:dPt>
                  <c:idx val="54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439-3CCB-476F-95B8-640E14A88A15}"/>
                    </c:ext>
                  </c:extLst>
                </c:dPt>
                <c:dPt>
                  <c:idx val="54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43B-3CCB-476F-95B8-640E14A88A15}"/>
                    </c:ext>
                  </c:extLst>
                </c:dPt>
                <c:dPt>
                  <c:idx val="54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43D-3CCB-476F-95B8-640E14A88A15}"/>
                    </c:ext>
                  </c:extLst>
                </c:dPt>
                <c:dPt>
                  <c:idx val="54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43F-3CCB-476F-95B8-640E14A88A15}"/>
                    </c:ext>
                  </c:extLst>
                </c:dPt>
                <c:dPt>
                  <c:idx val="54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441-3CCB-476F-95B8-640E14A88A15}"/>
                    </c:ext>
                  </c:extLst>
                </c:dPt>
                <c:dPt>
                  <c:idx val="54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443-3CCB-476F-95B8-640E14A88A15}"/>
                    </c:ext>
                  </c:extLst>
                </c:dPt>
                <c:dPt>
                  <c:idx val="54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445-3CCB-476F-95B8-640E14A88A15}"/>
                    </c:ext>
                  </c:extLst>
                </c:dPt>
                <c:dPt>
                  <c:idx val="54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447-3CCB-476F-95B8-640E14A88A15}"/>
                    </c:ext>
                  </c:extLst>
                </c:dPt>
                <c:dPt>
                  <c:idx val="54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449-3CCB-476F-95B8-640E14A88A15}"/>
                    </c:ext>
                  </c:extLst>
                </c:dPt>
                <c:dPt>
                  <c:idx val="54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44B-3CCB-476F-95B8-640E14A88A15}"/>
                    </c:ext>
                  </c:extLst>
                </c:dPt>
                <c:dPt>
                  <c:idx val="55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44D-3CCB-476F-95B8-640E14A88A15}"/>
                    </c:ext>
                  </c:extLst>
                </c:dPt>
                <c:dPt>
                  <c:idx val="55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44F-3CCB-476F-95B8-640E14A88A15}"/>
                    </c:ext>
                  </c:extLst>
                </c:dPt>
                <c:dPt>
                  <c:idx val="55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451-3CCB-476F-95B8-640E14A88A15}"/>
                    </c:ext>
                  </c:extLst>
                </c:dPt>
                <c:dPt>
                  <c:idx val="55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453-3CCB-476F-95B8-640E14A88A15}"/>
                    </c:ext>
                  </c:extLst>
                </c:dPt>
                <c:dPt>
                  <c:idx val="55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455-3CCB-476F-95B8-640E14A88A15}"/>
                    </c:ext>
                  </c:extLst>
                </c:dPt>
                <c:dPt>
                  <c:idx val="55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457-3CCB-476F-95B8-640E14A88A15}"/>
                    </c:ext>
                  </c:extLst>
                </c:dPt>
                <c:dPt>
                  <c:idx val="55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459-3CCB-476F-95B8-640E14A88A15}"/>
                    </c:ext>
                  </c:extLst>
                </c:dPt>
                <c:dPt>
                  <c:idx val="55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45B-3CCB-476F-95B8-640E14A88A15}"/>
                    </c:ext>
                  </c:extLst>
                </c:dPt>
                <c:dPt>
                  <c:idx val="55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45D-3CCB-476F-95B8-640E14A88A15}"/>
                    </c:ext>
                  </c:extLst>
                </c:dPt>
                <c:dPt>
                  <c:idx val="55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45F-3CCB-476F-95B8-640E14A88A15}"/>
                    </c:ext>
                  </c:extLst>
                </c:dPt>
                <c:dPt>
                  <c:idx val="56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461-3CCB-476F-95B8-640E14A88A15}"/>
                    </c:ext>
                  </c:extLst>
                </c:dPt>
                <c:dPt>
                  <c:idx val="56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463-3CCB-476F-95B8-640E14A88A15}"/>
                    </c:ext>
                  </c:extLst>
                </c:dPt>
                <c:dPt>
                  <c:idx val="56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465-3CCB-476F-95B8-640E14A88A15}"/>
                    </c:ext>
                  </c:extLst>
                </c:dPt>
                <c:dPt>
                  <c:idx val="56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467-3CCB-476F-95B8-640E14A88A15}"/>
                    </c:ext>
                  </c:extLst>
                </c:dPt>
                <c:dPt>
                  <c:idx val="56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469-3CCB-476F-95B8-640E14A88A15}"/>
                    </c:ext>
                  </c:extLst>
                </c:dPt>
                <c:dPt>
                  <c:idx val="56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46B-3CCB-476F-95B8-640E14A88A15}"/>
                    </c:ext>
                  </c:extLst>
                </c:dPt>
                <c:dPt>
                  <c:idx val="56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46D-3CCB-476F-95B8-640E14A88A15}"/>
                    </c:ext>
                  </c:extLst>
                </c:dPt>
                <c:dPt>
                  <c:idx val="56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46F-3CCB-476F-95B8-640E14A88A15}"/>
                    </c:ext>
                  </c:extLst>
                </c:dPt>
                <c:dPt>
                  <c:idx val="56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471-3CCB-476F-95B8-640E14A88A15}"/>
                    </c:ext>
                  </c:extLst>
                </c:dPt>
                <c:dPt>
                  <c:idx val="56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473-3CCB-476F-95B8-640E14A88A15}"/>
                    </c:ext>
                  </c:extLst>
                </c:dPt>
                <c:dPt>
                  <c:idx val="57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475-3CCB-476F-95B8-640E14A88A15}"/>
                    </c:ext>
                  </c:extLst>
                </c:dPt>
                <c:dPt>
                  <c:idx val="57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477-3CCB-476F-95B8-640E14A88A15}"/>
                    </c:ext>
                  </c:extLst>
                </c:dPt>
                <c:dPt>
                  <c:idx val="57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479-3CCB-476F-95B8-640E14A88A15}"/>
                    </c:ext>
                  </c:extLst>
                </c:dPt>
                <c:dPt>
                  <c:idx val="57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47B-3CCB-476F-95B8-640E14A88A15}"/>
                    </c:ext>
                  </c:extLst>
                </c:dPt>
                <c:dPt>
                  <c:idx val="57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47D-3CCB-476F-95B8-640E14A88A15}"/>
                    </c:ext>
                  </c:extLst>
                </c:dPt>
                <c:dPt>
                  <c:idx val="57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47F-3CCB-476F-95B8-640E14A88A15}"/>
                    </c:ext>
                  </c:extLst>
                </c:dPt>
                <c:dPt>
                  <c:idx val="57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481-3CCB-476F-95B8-640E14A88A15}"/>
                    </c:ext>
                  </c:extLst>
                </c:dPt>
                <c:dPt>
                  <c:idx val="57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483-3CCB-476F-95B8-640E14A88A15}"/>
                    </c:ext>
                  </c:extLst>
                </c:dPt>
                <c:dPt>
                  <c:idx val="57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485-3CCB-476F-95B8-640E14A88A15}"/>
                    </c:ext>
                  </c:extLst>
                </c:dPt>
                <c:dPt>
                  <c:idx val="57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487-3CCB-476F-95B8-640E14A88A15}"/>
                    </c:ext>
                  </c:extLst>
                </c:dPt>
                <c:dPt>
                  <c:idx val="58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489-3CCB-476F-95B8-640E14A88A15}"/>
                    </c:ext>
                  </c:extLst>
                </c:dPt>
                <c:dPt>
                  <c:idx val="58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48B-3CCB-476F-95B8-640E14A88A15}"/>
                    </c:ext>
                  </c:extLst>
                </c:dPt>
                <c:dPt>
                  <c:idx val="58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48D-3CCB-476F-95B8-640E14A88A15}"/>
                    </c:ext>
                  </c:extLst>
                </c:dPt>
                <c:dPt>
                  <c:idx val="58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48F-3CCB-476F-95B8-640E14A88A15}"/>
                    </c:ext>
                  </c:extLst>
                </c:dPt>
                <c:dPt>
                  <c:idx val="58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491-3CCB-476F-95B8-640E14A88A15}"/>
                    </c:ext>
                  </c:extLst>
                </c:dPt>
                <c:dPt>
                  <c:idx val="58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493-3CCB-476F-95B8-640E14A88A15}"/>
                    </c:ext>
                  </c:extLst>
                </c:dPt>
                <c:dPt>
                  <c:idx val="58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495-3CCB-476F-95B8-640E14A88A15}"/>
                    </c:ext>
                  </c:extLst>
                </c:dPt>
                <c:dPt>
                  <c:idx val="58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497-3CCB-476F-95B8-640E14A88A15}"/>
                    </c:ext>
                  </c:extLst>
                </c:dPt>
                <c:dPt>
                  <c:idx val="58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499-3CCB-476F-95B8-640E14A88A15}"/>
                    </c:ext>
                  </c:extLst>
                </c:dPt>
                <c:dPt>
                  <c:idx val="58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49B-3CCB-476F-95B8-640E14A88A15}"/>
                    </c:ext>
                  </c:extLst>
                </c:dPt>
                <c:dPt>
                  <c:idx val="59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49D-3CCB-476F-95B8-640E14A88A15}"/>
                    </c:ext>
                  </c:extLst>
                </c:dPt>
                <c:dPt>
                  <c:idx val="59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49F-3CCB-476F-95B8-640E14A88A15}"/>
                    </c:ext>
                  </c:extLst>
                </c:dPt>
                <c:dPt>
                  <c:idx val="59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4A1-3CCB-476F-95B8-640E14A88A15}"/>
                    </c:ext>
                  </c:extLst>
                </c:dPt>
                <c:dPt>
                  <c:idx val="59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4A3-3CCB-476F-95B8-640E14A88A15}"/>
                    </c:ext>
                  </c:extLst>
                </c:dPt>
                <c:dPt>
                  <c:idx val="59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4A5-3CCB-476F-95B8-640E14A88A15}"/>
                    </c:ext>
                  </c:extLst>
                </c:dPt>
                <c:dPt>
                  <c:idx val="59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4A7-3CCB-476F-95B8-640E14A88A15}"/>
                    </c:ext>
                  </c:extLst>
                </c:dPt>
                <c:dPt>
                  <c:idx val="59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4A9-3CCB-476F-95B8-640E14A88A15}"/>
                    </c:ext>
                  </c:extLst>
                </c:dPt>
                <c:dPt>
                  <c:idx val="59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4AB-3CCB-476F-95B8-640E14A88A15}"/>
                    </c:ext>
                  </c:extLst>
                </c:dPt>
                <c:dPt>
                  <c:idx val="59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4AD-3CCB-476F-95B8-640E14A88A15}"/>
                    </c:ext>
                  </c:extLst>
                </c:dPt>
                <c:dPt>
                  <c:idx val="59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4AF-3CCB-476F-95B8-640E14A88A15}"/>
                    </c:ext>
                  </c:extLst>
                </c:dPt>
                <c:dPt>
                  <c:idx val="60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4B1-3CCB-476F-95B8-640E14A88A15}"/>
                    </c:ext>
                  </c:extLst>
                </c:dPt>
                <c:dPt>
                  <c:idx val="60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4B3-3CCB-476F-95B8-640E14A88A15}"/>
                    </c:ext>
                  </c:extLst>
                </c:dPt>
                <c:dPt>
                  <c:idx val="60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4B5-3CCB-476F-95B8-640E14A88A15}"/>
                    </c:ext>
                  </c:extLst>
                </c:dPt>
                <c:dPt>
                  <c:idx val="60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4B7-3CCB-476F-95B8-640E14A88A15}"/>
                    </c:ext>
                  </c:extLst>
                </c:dPt>
                <c:dPt>
                  <c:idx val="60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4B9-3CCB-476F-95B8-640E14A88A15}"/>
                    </c:ext>
                  </c:extLst>
                </c:dPt>
                <c:dPt>
                  <c:idx val="60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4BB-3CCB-476F-95B8-640E14A88A15}"/>
                    </c:ext>
                  </c:extLst>
                </c:dPt>
                <c:dPt>
                  <c:idx val="60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4BD-3CCB-476F-95B8-640E14A88A15}"/>
                    </c:ext>
                  </c:extLst>
                </c:dPt>
                <c:dPt>
                  <c:idx val="60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4BF-3CCB-476F-95B8-640E14A88A15}"/>
                    </c:ext>
                  </c:extLst>
                </c:dPt>
                <c:dPt>
                  <c:idx val="60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4C1-3CCB-476F-95B8-640E14A88A15}"/>
                    </c:ext>
                  </c:extLst>
                </c:dPt>
                <c:dPt>
                  <c:idx val="60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4C3-3CCB-476F-95B8-640E14A88A15}"/>
                    </c:ext>
                  </c:extLst>
                </c:dPt>
                <c:dPt>
                  <c:idx val="61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4C5-3CCB-476F-95B8-640E14A88A15}"/>
                    </c:ext>
                  </c:extLst>
                </c:dPt>
                <c:dPt>
                  <c:idx val="61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4C7-3CCB-476F-95B8-640E14A88A15}"/>
                    </c:ext>
                  </c:extLst>
                </c:dPt>
                <c:dPt>
                  <c:idx val="61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4C9-3CCB-476F-95B8-640E14A88A15}"/>
                    </c:ext>
                  </c:extLst>
                </c:dPt>
                <c:dPt>
                  <c:idx val="61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4CB-3CCB-476F-95B8-640E14A88A15}"/>
                    </c:ext>
                  </c:extLst>
                </c:dPt>
                <c:dPt>
                  <c:idx val="61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4CD-3CCB-476F-95B8-640E14A88A15}"/>
                    </c:ext>
                  </c:extLst>
                </c:dPt>
                <c:dPt>
                  <c:idx val="61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4CF-3CCB-476F-95B8-640E14A88A15}"/>
                    </c:ext>
                  </c:extLst>
                </c:dPt>
                <c:dPt>
                  <c:idx val="61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4D1-3CCB-476F-95B8-640E14A88A15}"/>
                    </c:ext>
                  </c:extLst>
                </c:dPt>
                <c:dPt>
                  <c:idx val="61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4D3-3CCB-476F-95B8-640E14A88A15}"/>
                    </c:ext>
                  </c:extLst>
                </c:dPt>
                <c:dPt>
                  <c:idx val="61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4D5-3CCB-476F-95B8-640E14A88A15}"/>
                    </c:ext>
                  </c:extLst>
                </c:dPt>
                <c:dPt>
                  <c:idx val="61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4D7-3CCB-476F-95B8-640E14A88A15}"/>
                    </c:ext>
                  </c:extLst>
                </c:dPt>
                <c:dPt>
                  <c:idx val="62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4D9-3CCB-476F-95B8-640E14A88A15}"/>
                    </c:ext>
                  </c:extLst>
                </c:dPt>
                <c:dPt>
                  <c:idx val="62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4DB-3CCB-476F-95B8-640E14A88A15}"/>
                    </c:ext>
                  </c:extLst>
                </c:dPt>
                <c:dPt>
                  <c:idx val="62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4DD-3CCB-476F-95B8-640E14A88A15}"/>
                    </c:ext>
                  </c:extLst>
                </c:dPt>
                <c:dPt>
                  <c:idx val="62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4DF-3CCB-476F-95B8-640E14A88A15}"/>
                    </c:ext>
                  </c:extLst>
                </c:dPt>
                <c:dPt>
                  <c:idx val="62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4E1-3CCB-476F-95B8-640E14A88A15}"/>
                    </c:ext>
                  </c:extLst>
                </c:dPt>
                <c:dPt>
                  <c:idx val="62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4E3-3CCB-476F-95B8-640E14A88A15}"/>
                    </c:ext>
                  </c:extLst>
                </c:dPt>
                <c:dPt>
                  <c:idx val="626"/>
                  <c:bubble3D val="0"/>
                  <c:spPr>
                    <a:solidFill>
                      <a:srgbClr val="92D050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4E5-3CCB-476F-95B8-640E14A88A15}"/>
                    </c:ext>
                  </c:extLst>
                </c:dPt>
                <c:dPt>
                  <c:idx val="62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4E7-3CCB-476F-95B8-640E14A88A15}"/>
                    </c:ext>
                  </c:extLst>
                </c:dPt>
                <c:dPt>
                  <c:idx val="62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4E9-3CCB-476F-95B8-640E14A88A15}"/>
                    </c:ext>
                  </c:extLst>
                </c:dPt>
                <c:dPt>
                  <c:idx val="62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4EB-3CCB-476F-95B8-640E14A88A15}"/>
                    </c:ext>
                  </c:extLst>
                </c:dPt>
                <c:dPt>
                  <c:idx val="63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4ED-3CCB-476F-95B8-640E14A88A15}"/>
                    </c:ext>
                  </c:extLst>
                </c:dPt>
                <c:dPt>
                  <c:idx val="63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4EF-3CCB-476F-95B8-640E14A88A15}"/>
                    </c:ext>
                  </c:extLst>
                </c:dPt>
                <c:dPt>
                  <c:idx val="63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4F1-3CCB-476F-95B8-640E14A88A15}"/>
                    </c:ext>
                  </c:extLst>
                </c:dPt>
                <c:dPt>
                  <c:idx val="63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4F3-3CCB-476F-95B8-640E14A88A15}"/>
                    </c:ext>
                  </c:extLst>
                </c:dPt>
                <c:dPt>
                  <c:idx val="63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4F5-3CCB-476F-95B8-640E14A88A15}"/>
                    </c:ext>
                  </c:extLst>
                </c:dPt>
                <c:dPt>
                  <c:idx val="63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4F7-3CCB-476F-95B8-640E14A88A15}"/>
                    </c:ext>
                  </c:extLst>
                </c:dPt>
                <c:dPt>
                  <c:idx val="63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4F9-3CCB-476F-95B8-640E14A88A15}"/>
                    </c:ext>
                  </c:extLst>
                </c:dPt>
                <c:dPt>
                  <c:idx val="63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4FB-3CCB-476F-95B8-640E14A88A15}"/>
                    </c:ext>
                  </c:extLst>
                </c:dPt>
                <c:dPt>
                  <c:idx val="63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4FD-3CCB-476F-95B8-640E14A88A15}"/>
                    </c:ext>
                  </c:extLst>
                </c:dPt>
                <c:dPt>
                  <c:idx val="63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4FF-3CCB-476F-95B8-640E14A88A15}"/>
                    </c:ext>
                  </c:extLst>
                </c:dPt>
                <c:dPt>
                  <c:idx val="64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01-3CCB-476F-95B8-640E14A88A15}"/>
                    </c:ext>
                  </c:extLst>
                </c:dPt>
                <c:dPt>
                  <c:idx val="64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03-3CCB-476F-95B8-640E14A88A15}"/>
                    </c:ext>
                  </c:extLst>
                </c:dPt>
                <c:dPt>
                  <c:idx val="64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05-3CCB-476F-95B8-640E14A88A15}"/>
                    </c:ext>
                  </c:extLst>
                </c:dPt>
                <c:dPt>
                  <c:idx val="64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07-3CCB-476F-95B8-640E14A88A15}"/>
                    </c:ext>
                  </c:extLst>
                </c:dPt>
                <c:dPt>
                  <c:idx val="64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09-3CCB-476F-95B8-640E14A88A15}"/>
                    </c:ext>
                  </c:extLst>
                </c:dPt>
                <c:dPt>
                  <c:idx val="64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0B-3CCB-476F-95B8-640E14A88A15}"/>
                    </c:ext>
                  </c:extLst>
                </c:dPt>
                <c:dPt>
                  <c:idx val="64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0D-3CCB-476F-95B8-640E14A88A15}"/>
                    </c:ext>
                  </c:extLst>
                </c:dPt>
                <c:dPt>
                  <c:idx val="64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0F-3CCB-476F-95B8-640E14A88A15}"/>
                    </c:ext>
                  </c:extLst>
                </c:dPt>
                <c:dPt>
                  <c:idx val="64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11-3CCB-476F-95B8-640E14A88A15}"/>
                    </c:ext>
                  </c:extLst>
                </c:dPt>
                <c:dPt>
                  <c:idx val="64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13-3CCB-476F-95B8-640E14A88A15}"/>
                    </c:ext>
                  </c:extLst>
                </c:dPt>
                <c:dPt>
                  <c:idx val="65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15-3CCB-476F-95B8-640E14A88A15}"/>
                    </c:ext>
                  </c:extLst>
                </c:dPt>
                <c:dPt>
                  <c:idx val="65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17-3CCB-476F-95B8-640E14A88A15}"/>
                    </c:ext>
                  </c:extLst>
                </c:dPt>
                <c:dPt>
                  <c:idx val="65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19-3CCB-476F-95B8-640E14A88A15}"/>
                    </c:ext>
                  </c:extLst>
                </c:dPt>
                <c:dPt>
                  <c:idx val="65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1B-3CCB-476F-95B8-640E14A88A15}"/>
                    </c:ext>
                  </c:extLst>
                </c:dPt>
                <c:dPt>
                  <c:idx val="65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1D-3CCB-476F-95B8-640E14A88A15}"/>
                    </c:ext>
                  </c:extLst>
                </c:dPt>
                <c:dPt>
                  <c:idx val="65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1F-3CCB-476F-95B8-640E14A88A15}"/>
                    </c:ext>
                  </c:extLst>
                </c:dPt>
                <c:dPt>
                  <c:idx val="65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21-3CCB-476F-95B8-640E14A88A15}"/>
                    </c:ext>
                  </c:extLst>
                </c:dPt>
                <c:dPt>
                  <c:idx val="65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23-3CCB-476F-95B8-640E14A88A15}"/>
                    </c:ext>
                  </c:extLst>
                </c:dPt>
                <c:dPt>
                  <c:idx val="65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25-3CCB-476F-95B8-640E14A88A15}"/>
                    </c:ext>
                  </c:extLst>
                </c:dPt>
                <c:dPt>
                  <c:idx val="65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27-3CCB-476F-95B8-640E14A88A15}"/>
                    </c:ext>
                  </c:extLst>
                </c:dPt>
                <c:dPt>
                  <c:idx val="66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29-3CCB-476F-95B8-640E14A88A15}"/>
                    </c:ext>
                  </c:extLst>
                </c:dPt>
                <c:dPt>
                  <c:idx val="66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2B-3CCB-476F-95B8-640E14A88A15}"/>
                    </c:ext>
                  </c:extLst>
                </c:dPt>
                <c:dPt>
                  <c:idx val="66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2D-3CCB-476F-95B8-640E14A88A15}"/>
                    </c:ext>
                  </c:extLst>
                </c:dPt>
                <c:dPt>
                  <c:idx val="66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2F-3CCB-476F-95B8-640E14A88A15}"/>
                    </c:ext>
                  </c:extLst>
                </c:dPt>
                <c:dPt>
                  <c:idx val="66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31-3CCB-476F-95B8-640E14A88A15}"/>
                    </c:ext>
                  </c:extLst>
                </c:dPt>
                <c:dPt>
                  <c:idx val="66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33-3CCB-476F-95B8-640E14A88A15}"/>
                    </c:ext>
                  </c:extLst>
                </c:dPt>
                <c:dPt>
                  <c:idx val="66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35-3CCB-476F-95B8-640E14A88A15}"/>
                    </c:ext>
                  </c:extLst>
                </c:dPt>
                <c:dPt>
                  <c:idx val="66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37-3CCB-476F-95B8-640E14A88A15}"/>
                    </c:ext>
                  </c:extLst>
                </c:dPt>
                <c:dPt>
                  <c:idx val="66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39-3CCB-476F-95B8-640E14A88A15}"/>
                    </c:ext>
                  </c:extLst>
                </c:dPt>
                <c:dPt>
                  <c:idx val="66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3B-3CCB-476F-95B8-640E14A88A15}"/>
                    </c:ext>
                  </c:extLst>
                </c:dPt>
                <c:dPt>
                  <c:idx val="67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3D-3CCB-476F-95B8-640E14A88A15}"/>
                    </c:ext>
                  </c:extLst>
                </c:dPt>
                <c:dPt>
                  <c:idx val="67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3F-3CCB-476F-95B8-640E14A88A15}"/>
                    </c:ext>
                  </c:extLst>
                </c:dPt>
                <c:dPt>
                  <c:idx val="67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41-3CCB-476F-95B8-640E14A88A15}"/>
                    </c:ext>
                  </c:extLst>
                </c:dPt>
                <c:dPt>
                  <c:idx val="67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43-3CCB-476F-95B8-640E14A88A15}"/>
                    </c:ext>
                  </c:extLst>
                </c:dPt>
                <c:dPt>
                  <c:idx val="67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45-3CCB-476F-95B8-640E14A88A15}"/>
                    </c:ext>
                  </c:extLst>
                </c:dPt>
                <c:dPt>
                  <c:idx val="67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47-3CCB-476F-95B8-640E14A88A15}"/>
                    </c:ext>
                  </c:extLst>
                </c:dPt>
                <c:dPt>
                  <c:idx val="67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49-3CCB-476F-95B8-640E14A88A15}"/>
                    </c:ext>
                  </c:extLst>
                </c:dPt>
                <c:dPt>
                  <c:idx val="67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4B-3CCB-476F-95B8-640E14A88A15}"/>
                    </c:ext>
                  </c:extLst>
                </c:dPt>
                <c:dPt>
                  <c:idx val="67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4D-3CCB-476F-95B8-640E14A88A15}"/>
                    </c:ext>
                  </c:extLst>
                </c:dPt>
                <c:dPt>
                  <c:idx val="67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4F-3CCB-476F-95B8-640E14A88A15}"/>
                    </c:ext>
                  </c:extLst>
                </c:dPt>
                <c:dPt>
                  <c:idx val="68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51-3CCB-476F-95B8-640E14A88A15}"/>
                    </c:ext>
                  </c:extLst>
                </c:dPt>
                <c:dPt>
                  <c:idx val="68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53-3CCB-476F-95B8-640E14A88A15}"/>
                    </c:ext>
                  </c:extLst>
                </c:dPt>
                <c:dPt>
                  <c:idx val="68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55-3CCB-476F-95B8-640E14A88A15}"/>
                    </c:ext>
                  </c:extLst>
                </c:dPt>
                <c:dPt>
                  <c:idx val="68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57-3CCB-476F-95B8-640E14A88A15}"/>
                    </c:ext>
                  </c:extLst>
                </c:dPt>
                <c:dPt>
                  <c:idx val="68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59-3CCB-476F-95B8-640E14A88A15}"/>
                    </c:ext>
                  </c:extLst>
                </c:dPt>
                <c:dPt>
                  <c:idx val="68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5B-3CCB-476F-95B8-640E14A88A15}"/>
                    </c:ext>
                  </c:extLst>
                </c:dPt>
                <c:dPt>
                  <c:idx val="68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5D-3CCB-476F-95B8-640E14A88A15}"/>
                    </c:ext>
                  </c:extLst>
                </c:dPt>
                <c:dPt>
                  <c:idx val="68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5F-3CCB-476F-95B8-640E14A88A15}"/>
                    </c:ext>
                  </c:extLst>
                </c:dPt>
                <c:dPt>
                  <c:idx val="68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61-3CCB-476F-95B8-640E14A88A15}"/>
                    </c:ext>
                  </c:extLst>
                </c:dPt>
                <c:dPt>
                  <c:idx val="68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63-3CCB-476F-95B8-640E14A88A15}"/>
                    </c:ext>
                  </c:extLst>
                </c:dPt>
                <c:dPt>
                  <c:idx val="69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65-3CCB-476F-95B8-640E14A88A15}"/>
                    </c:ext>
                  </c:extLst>
                </c:dPt>
                <c:dPt>
                  <c:idx val="69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67-3CCB-476F-95B8-640E14A88A15}"/>
                    </c:ext>
                  </c:extLst>
                </c:dPt>
                <c:dPt>
                  <c:idx val="69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69-3CCB-476F-95B8-640E14A88A15}"/>
                    </c:ext>
                  </c:extLst>
                </c:dPt>
                <c:dPt>
                  <c:idx val="69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6B-3CCB-476F-95B8-640E14A88A15}"/>
                    </c:ext>
                  </c:extLst>
                </c:dPt>
                <c:dPt>
                  <c:idx val="69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6D-3CCB-476F-95B8-640E14A88A15}"/>
                    </c:ext>
                  </c:extLst>
                </c:dPt>
                <c:dPt>
                  <c:idx val="69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6F-3CCB-476F-95B8-640E14A88A15}"/>
                    </c:ext>
                  </c:extLst>
                </c:dPt>
                <c:dPt>
                  <c:idx val="69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71-3CCB-476F-95B8-640E14A88A15}"/>
                    </c:ext>
                  </c:extLst>
                </c:dPt>
                <c:dPt>
                  <c:idx val="69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73-3CCB-476F-95B8-640E14A88A15}"/>
                    </c:ext>
                  </c:extLst>
                </c:dPt>
                <c:dPt>
                  <c:idx val="69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75-3CCB-476F-95B8-640E14A88A15}"/>
                    </c:ext>
                  </c:extLst>
                </c:dPt>
                <c:dPt>
                  <c:idx val="69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77-3CCB-476F-95B8-640E14A88A15}"/>
                    </c:ext>
                  </c:extLst>
                </c:dPt>
                <c:dPt>
                  <c:idx val="70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79-3CCB-476F-95B8-640E14A88A15}"/>
                    </c:ext>
                  </c:extLst>
                </c:dPt>
                <c:dPt>
                  <c:idx val="70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7B-3CCB-476F-95B8-640E14A88A15}"/>
                    </c:ext>
                  </c:extLst>
                </c:dPt>
                <c:dPt>
                  <c:idx val="70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7D-3CCB-476F-95B8-640E14A88A15}"/>
                    </c:ext>
                  </c:extLst>
                </c:dPt>
                <c:dPt>
                  <c:idx val="70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7F-3CCB-476F-95B8-640E14A88A15}"/>
                    </c:ext>
                  </c:extLst>
                </c:dPt>
                <c:dPt>
                  <c:idx val="70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81-3CCB-476F-95B8-640E14A88A15}"/>
                    </c:ext>
                  </c:extLst>
                </c:dPt>
                <c:dPt>
                  <c:idx val="70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83-3CCB-476F-95B8-640E14A88A15}"/>
                    </c:ext>
                  </c:extLst>
                </c:dPt>
                <c:dPt>
                  <c:idx val="70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85-3CCB-476F-95B8-640E14A88A15}"/>
                    </c:ext>
                  </c:extLst>
                </c:dPt>
                <c:dPt>
                  <c:idx val="70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87-3CCB-476F-95B8-640E14A88A15}"/>
                    </c:ext>
                  </c:extLst>
                </c:dPt>
                <c:dPt>
                  <c:idx val="70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89-3CCB-476F-95B8-640E14A88A15}"/>
                    </c:ext>
                  </c:extLst>
                </c:dPt>
                <c:dPt>
                  <c:idx val="70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8B-3CCB-476F-95B8-640E14A88A15}"/>
                    </c:ext>
                  </c:extLst>
                </c:dPt>
                <c:dPt>
                  <c:idx val="71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8D-3CCB-476F-95B8-640E14A88A15}"/>
                    </c:ext>
                  </c:extLst>
                </c:dPt>
                <c:dPt>
                  <c:idx val="71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8F-3CCB-476F-95B8-640E14A88A15}"/>
                    </c:ext>
                  </c:extLst>
                </c:dPt>
                <c:dPt>
                  <c:idx val="71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91-3CCB-476F-95B8-640E14A88A15}"/>
                    </c:ext>
                  </c:extLst>
                </c:dPt>
                <c:dPt>
                  <c:idx val="71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93-3CCB-476F-95B8-640E14A88A15}"/>
                    </c:ext>
                  </c:extLst>
                </c:dPt>
                <c:dPt>
                  <c:idx val="71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95-3CCB-476F-95B8-640E14A88A15}"/>
                    </c:ext>
                  </c:extLst>
                </c:dPt>
                <c:dPt>
                  <c:idx val="71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97-3CCB-476F-95B8-640E14A88A15}"/>
                    </c:ext>
                  </c:extLst>
                </c:dPt>
                <c:dPt>
                  <c:idx val="71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99-3CCB-476F-95B8-640E14A88A15}"/>
                    </c:ext>
                  </c:extLst>
                </c:dPt>
                <c:dPt>
                  <c:idx val="71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9B-3CCB-476F-95B8-640E14A88A15}"/>
                    </c:ext>
                  </c:extLst>
                </c:dPt>
                <c:dPt>
                  <c:idx val="71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9D-3CCB-476F-95B8-640E14A88A15}"/>
                    </c:ext>
                  </c:extLst>
                </c:dPt>
                <c:dPt>
                  <c:idx val="71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9F-3CCB-476F-95B8-640E14A88A15}"/>
                    </c:ext>
                  </c:extLst>
                </c:dPt>
                <c:dPt>
                  <c:idx val="72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A1-3CCB-476F-95B8-640E14A88A15}"/>
                    </c:ext>
                  </c:extLst>
                </c:dPt>
                <c:dPt>
                  <c:idx val="721"/>
                  <c:bubble3D val="0"/>
                  <c:spPr>
                    <a:solidFill>
                      <a:srgbClr val="08E61D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A3-3CCB-476F-95B8-640E14A88A15}"/>
                    </c:ext>
                  </c:extLst>
                </c:dPt>
                <c:dPt>
                  <c:idx val="72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A5-3CCB-476F-95B8-640E14A88A15}"/>
                    </c:ext>
                  </c:extLst>
                </c:dPt>
                <c:dPt>
                  <c:idx val="72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A7-3CCB-476F-95B8-640E14A88A15}"/>
                    </c:ext>
                  </c:extLst>
                </c:dPt>
                <c:dPt>
                  <c:idx val="72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A9-3CCB-476F-95B8-640E14A88A15}"/>
                    </c:ext>
                  </c:extLst>
                </c:dPt>
                <c:dPt>
                  <c:idx val="725"/>
                  <c:bubble3D val="0"/>
                  <c:spPr>
                    <a:solidFill>
                      <a:schemeClr val="accent4">
                        <a:lumMod val="40000"/>
                        <a:lumOff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AB-3CCB-476F-95B8-640E14A88A15}"/>
                    </c:ext>
                  </c:extLst>
                </c:dPt>
                <c:dPt>
                  <c:idx val="72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AD-3CCB-476F-95B8-640E14A88A15}"/>
                    </c:ext>
                  </c:extLst>
                </c:dPt>
                <c:dPt>
                  <c:idx val="72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AF-3CCB-476F-95B8-640E14A88A15}"/>
                    </c:ext>
                  </c:extLst>
                </c:dPt>
                <c:dPt>
                  <c:idx val="72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B1-3CCB-476F-95B8-640E14A88A15}"/>
                    </c:ext>
                  </c:extLst>
                </c:dPt>
                <c:dPt>
                  <c:idx val="72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B3-3CCB-476F-95B8-640E14A88A15}"/>
                    </c:ext>
                  </c:extLst>
                </c:dPt>
                <c:dPt>
                  <c:idx val="73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B5-3CCB-476F-95B8-640E14A88A15}"/>
                    </c:ext>
                  </c:extLst>
                </c:dPt>
                <c:dPt>
                  <c:idx val="73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B7-3CCB-476F-95B8-640E14A88A15}"/>
                    </c:ext>
                  </c:extLst>
                </c:dPt>
                <c:dPt>
                  <c:idx val="73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B9-3CCB-476F-95B8-640E14A88A15}"/>
                    </c:ext>
                  </c:extLst>
                </c:dPt>
                <c:dPt>
                  <c:idx val="73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BB-3CCB-476F-95B8-640E14A88A15}"/>
                    </c:ext>
                  </c:extLst>
                </c:dPt>
                <c:dPt>
                  <c:idx val="73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BD-3CCB-476F-95B8-640E14A88A15}"/>
                    </c:ext>
                  </c:extLst>
                </c:dPt>
                <c:dPt>
                  <c:idx val="735"/>
                  <c:bubble3D val="0"/>
                  <c:spPr>
                    <a:solidFill>
                      <a:srgbClr val="FF006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BF-3CCB-476F-95B8-640E14A88A15}"/>
                    </c:ext>
                  </c:extLst>
                </c:dPt>
                <c:dPt>
                  <c:idx val="73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C1-3CCB-476F-95B8-640E14A88A15}"/>
                    </c:ext>
                  </c:extLst>
                </c:dPt>
                <c:dPt>
                  <c:idx val="73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C3-3CCB-476F-95B8-640E14A88A15}"/>
                    </c:ext>
                  </c:extLst>
                </c:dPt>
                <c:dPt>
                  <c:idx val="73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C5-3CCB-476F-95B8-640E14A88A15}"/>
                    </c:ext>
                  </c:extLst>
                </c:dPt>
                <c:dPt>
                  <c:idx val="73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C7-3CCB-476F-95B8-640E14A88A15}"/>
                    </c:ext>
                  </c:extLst>
                </c:dPt>
                <c:dPt>
                  <c:idx val="74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C9-3CCB-476F-95B8-640E14A88A15}"/>
                    </c:ext>
                  </c:extLst>
                </c:dPt>
                <c:dPt>
                  <c:idx val="74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CB-3CCB-476F-95B8-640E14A88A15}"/>
                    </c:ext>
                  </c:extLst>
                </c:dPt>
                <c:dPt>
                  <c:idx val="74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CD-3CCB-476F-95B8-640E14A88A15}"/>
                    </c:ext>
                  </c:extLst>
                </c:dPt>
                <c:dPt>
                  <c:idx val="743"/>
                  <c:bubble3D val="0"/>
                  <c:spPr>
                    <a:solidFill>
                      <a:srgbClr val="FFFF00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CF-3CCB-476F-95B8-640E14A88A15}"/>
                    </c:ext>
                  </c:extLst>
                </c:dPt>
                <c:dPt>
                  <c:idx val="74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D1-3CCB-476F-95B8-640E14A88A15}"/>
                    </c:ext>
                  </c:extLst>
                </c:dPt>
                <c:dPt>
                  <c:idx val="74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D3-3CCB-476F-95B8-640E14A88A15}"/>
                    </c:ext>
                  </c:extLst>
                </c:dPt>
                <c:dPt>
                  <c:idx val="74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D5-3CCB-476F-95B8-640E14A88A15}"/>
                    </c:ext>
                  </c:extLst>
                </c:dPt>
                <c:dPt>
                  <c:idx val="74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D7-3CCB-476F-95B8-640E14A88A15}"/>
                    </c:ext>
                  </c:extLst>
                </c:dPt>
                <c:dPt>
                  <c:idx val="74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D9-3CCB-476F-95B8-640E14A88A15}"/>
                    </c:ext>
                  </c:extLst>
                </c:dPt>
                <c:dPt>
                  <c:idx val="74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DB-3CCB-476F-95B8-640E14A88A15}"/>
                    </c:ext>
                  </c:extLst>
                </c:dPt>
                <c:dPt>
                  <c:idx val="75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DD-3CCB-476F-95B8-640E14A88A15}"/>
                    </c:ext>
                  </c:extLst>
                </c:dPt>
                <c:dPt>
                  <c:idx val="75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DF-3CCB-476F-95B8-640E14A88A15}"/>
                    </c:ext>
                  </c:extLst>
                </c:dPt>
                <c:dPt>
                  <c:idx val="75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E1-3CCB-476F-95B8-640E14A88A15}"/>
                    </c:ext>
                  </c:extLst>
                </c:dPt>
                <c:dPt>
                  <c:idx val="75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E3-3CCB-476F-95B8-640E14A88A15}"/>
                    </c:ext>
                  </c:extLst>
                </c:dPt>
                <c:dPt>
                  <c:idx val="75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E5-3CCB-476F-95B8-640E14A88A15}"/>
                    </c:ext>
                  </c:extLst>
                </c:dPt>
                <c:dPt>
                  <c:idx val="75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E7-3CCB-476F-95B8-640E14A88A15}"/>
                    </c:ext>
                  </c:extLst>
                </c:dPt>
                <c:dPt>
                  <c:idx val="75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E9-3CCB-476F-95B8-640E14A88A15}"/>
                    </c:ext>
                  </c:extLst>
                </c:dPt>
                <c:dPt>
                  <c:idx val="75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EB-3CCB-476F-95B8-640E14A88A15}"/>
                    </c:ext>
                  </c:extLst>
                </c:dPt>
                <c:dPt>
                  <c:idx val="75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ED-3CCB-476F-95B8-640E14A88A15}"/>
                    </c:ext>
                  </c:extLst>
                </c:dPt>
                <c:dPt>
                  <c:idx val="75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EF-3CCB-476F-95B8-640E14A88A15}"/>
                    </c:ext>
                  </c:extLst>
                </c:dPt>
                <c:dPt>
                  <c:idx val="76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F1-3CCB-476F-95B8-640E14A88A15}"/>
                    </c:ext>
                  </c:extLst>
                </c:dPt>
                <c:dPt>
                  <c:idx val="76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F3-3CCB-476F-95B8-640E14A88A15}"/>
                    </c:ext>
                  </c:extLst>
                </c:dPt>
                <c:dPt>
                  <c:idx val="76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F5-3CCB-476F-95B8-640E14A88A15}"/>
                    </c:ext>
                  </c:extLst>
                </c:dPt>
                <c:dPt>
                  <c:idx val="76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F7-3CCB-476F-95B8-640E14A88A15}"/>
                    </c:ext>
                  </c:extLst>
                </c:dPt>
                <c:dPt>
                  <c:idx val="76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F9-3CCB-476F-95B8-640E14A88A15}"/>
                    </c:ext>
                  </c:extLst>
                </c:dPt>
                <c:dPt>
                  <c:idx val="76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FB-3CCB-476F-95B8-640E14A88A15}"/>
                    </c:ext>
                  </c:extLst>
                </c:dPt>
                <c:dPt>
                  <c:idx val="76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FD-3CCB-476F-95B8-640E14A88A15}"/>
                    </c:ext>
                  </c:extLst>
                </c:dPt>
                <c:dPt>
                  <c:idx val="76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FF-3CCB-476F-95B8-640E14A88A15}"/>
                    </c:ext>
                  </c:extLst>
                </c:dPt>
                <c:dPt>
                  <c:idx val="76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01-3CCB-476F-95B8-640E14A88A15}"/>
                    </c:ext>
                  </c:extLst>
                </c:dPt>
                <c:dPt>
                  <c:idx val="76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03-3CCB-476F-95B8-640E14A88A15}"/>
                    </c:ext>
                  </c:extLst>
                </c:dPt>
                <c:dPt>
                  <c:idx val="77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05-3CCB-476F-95B8-640E14A88A15}"/>
                    </c:ext>
                  </c:extLst>
                </c:dPt>
                <c:dPt>
                  <c:idx val="77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07-3CCB-476F-95B8-640E14A88A15}"/>
                    </c:ext>
                  </c:extLst>
                </c:dPt>
                <c:dPt>
                  <c:idx val="77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09-3CCB-476F-95B8-640E14A88A15}"/>
                    </c:ext>
                  </c:extLst>
                </c:dPt>
                <c:dPt>
                  <c:idx val="77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0B-3CCB-476F-95B8-640E14A88A15}"/>
                    </c:ext>
                  </c:extLst>
                </c:dPt>
                <c:dPt>
                  <c:idx val="77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0D-3CCB-476F-95B8-640E14A88A15}"/>
                    </c:ext>
                  </c:extLst>
                </c:dPt>
                <c:dPt>
                  <c:idx val="77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0F-3CCB-476F-95B8-640E14A88A15}"/>
                    </c:ext>
                  </c:extLst>
                </c:dPt>
                <c:dPt>
                  <c:idx val="77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11-3CCB-476F-95B8-640E14A88A15}"/>
                    </c:ext>
                  </c:extLst>
                </c:dPt>
                <c:dPt>
                  <c:idx val="77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13-3CCB-476F-95B8-640E14A88A15}"/>
                    </c:ext>
                  </c:extLst>
                </c:dPt>
                <c:dPt>
                  <c:idx val="77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15-3CCB-476F-95B8-640E14A88A15}"/>
                    </c:ext>
                  </c:extLst>
                </c:dPt>
                <c:dPt>
                  <c:idx val="77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17-3CCB-476F-95B8-640E14A88A15}"/>
                    </c:ext>
                  </c:extLst>
                </c:dPt>
                <c:dPt>
                  <c:idx val="78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19-3CCB-476F-95B8-640E14A88A15}"/>
                    </c:ext>
                  </c:extLst>
                </c:dPt>
                <c:dPt>
                  <c:idx val="78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1B-3CCB-476F-95B8-640E14A88A15}"/>
                    </c:ext>
                  </c:extLst>
                </c:dPt>
                <c:dPt>
                  <c:idx val="78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1D-3CCB-476F-95B8-640E14A88A15}"/>
                    </c:ext>
                  </c:extLst>
                </c:dPt>
                <c:dPt>
                  <c:idx val="78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1F-3CCB-476F-95B8-640E14A88A15}"/>
                    </c:ext>
                  </c:extLst>
                </c:dPt>
                <c:dPt>
                  <c:idx val="78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21-3CCB-476F-95B8-640E14A88A15}"/>
                    </c:ext>
                  </c:extLst>
                </c:dPt>
                <c:dPt>
                  <c:idx val="78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23-3CCB-476F-95B8-640E14A88A15}"/>
                    </c:ext>
                  </c:extLst>
                </c:dPt>
                <c:dPt>
                  <c:idx val="78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25-3CCB-476F-95B8-640E14A88A15}"/>
                    </c:ext>
                  </c:extLst>
                </c:dPt>
                <c:dPt>
                  <c:idx val="78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27-3CCB-476F-95B8-640E14A88A15}"/>
                    </c:ext>
                  </c:extLst>
                </c:dPt>
                <c:dPt>
                  <c:idx val="78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29-3CCB-476F-95B8-640E14A88A15}"/>
                    </c:ext>
                  </c:extLst>
                </c:dPt>
                <c:dPt>
                  <c:idx val="78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2B-3CCB-476F-95B8-640E14A88A15}"/>
                    </c:ext>
                  </c:extLst>
                </c:dPt>
                <c:dPt>
                  <c:idx val="79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2D-3CCB-476F-95B8-640E14A88A15}"/>
                    </c:ext>
                  </c:extLst>
                </c:dPt>
                <c:dPt>
                  <c:idx val="79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2F-3CCB-476F-95B8-640E14A88A15}"/>
                    </c:ext>
                  </c:extLst>
                </c:dPt>
                <c:dPt>
                  <c:idx val="79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31-3CCB-476F-95B8-640E14A88A15}"/>
                    </c:ext>
                  </c:extLst>
                </c:dPt>
                <c:dPt>
                  <c:idx val="79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33-3CCB-476F-95B8-640E14A88A15}"/>
                    </c:ext>
                  </c:extLst>
                </c:dPt>
                <c:dPt>
                  <c:idx val="79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35-3CCB-476F-95B8-640E14A88A15}"/>
                    </c:ext>
                  </c:extLst>
                </c:dPt>
                <c:dPt>
                  <c:idx val="79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37-3CCB-476F-95B8-640E14A88A15}"/>
                    </c:ext>
                  </c:extLst>
                </c:dPt>
                <c:dPt>
                  <c:idx val="79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39-3CCB-476F-95B8-640E14A88A15}"/>
                    </c:ext>
                  </c:extLst>
                </c:dPt>
                <c:dPt>
                  <c:idx val="79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3B-3CCB-476F-95B8-640E14A88A15}"/>
                    </c:ext>
                  </c:extLst>
                </c:dPt>
                <c:dPt>
                  <c:idx val="79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3D-3CCB-476F-95B8-640E14A88A15}"/>
                    </c:ext>
                  </c:extLst>
                </c:dPt>
                <c:dPt>
                  <c:idx val="79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3F-3CCB-476F-95B8-640E14A88A15}"/>
                    </c:ext>
                  </c:extLst>
                </c:dPt>
                <c:dPt>
                  <c:idx val="80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41-3CCB-476F-95B8-640E14A88A15}"/>
                    </c:ext>
                  </c:extLst>
                </c:dPt>
                <c:dPt>
                  <c:idx val="80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43-3CCB-476F-95B8-640E14A88A15}"/>
                    </c:ext>
                  </c:extLst>
                </c:dPt>
                <c:dPt>
                  <c:idx val="80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45-3CCB-476F-95B8-640E14A88A15}"/>
                    </c:ext>
                  </c:extLst>
                </c:dPt>
                <c:dPt>
                  <c:idx val="80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47-3CCB-476F-95B8-640E14A88A15}"/>
                    </c:ext>
                  </c:extLst>
                </c:dPt>
                <c:dPt>
                  <c:idx val="80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49-3CCB-476F-95B8-640E14A88A15}"/>
                    </c:ext>
                  </c:extLst>
                </c:dPt>
                <c:dPt>
                  <c:idx val="80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4B-3CCB-476F-95B8-640E14A88A15}"/>
                    </c:ext>
                  </c:extLst>
                </c:dPt>
                <c:dPt>
                  <c:idx val="80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4D-3CCB-476F-95B8-640E14A88A15}"/>
                    </c:ext>
                  </c:extLst>
                </c:dPt>
                <c:dPt>
                  <c:idx val="80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4F-3CCB-476F-95B8-640E14A88A15}"/>
                    </c:ext>
                  </c:extLst>
                </c:dPt>
                <c:dPt>
                  <c:idx val="80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51-3CCB-476F-95B8-640E14A88A15}"/>
                    </c:ext>
                  </c:extLst>
                </c:dPt>
                <c:dPt>
                  <c:idx val="80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53-3CCB-476F-95B8-640E14A88A15}"/>
                    </c:ext>
                  </c:extLst>
                </c:dPt>
                <c:dPt>
                  <c:idx val="81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55-3CCB-476F-95B8-640E14A88A15}"/>
                    </c:ext>
                  </c:extLst>
                </c:dPt>
                <c:dPt>
                  <c:idx val="81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57-3CCB-476F-95B8-640E14A88A15}"/>
                    </c:ext>
                  </c:extLst>
                </c:dPt>
                <c:dPt>
                  <c:idx val="81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59-3CCB-476F-95B8-640E14A88A15}"/>
                    </c:ext>
                  </c:extLst>
                </c:dPt>
                <c:dPt>
                  <c:idx val="81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5B-3CCB-476F-95B8-640E14A88A15}"/>
                    </c:ext>
                  </c:extLst>
                </c:dPt>
                <c:dPt>
                  <c:idx val="81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5D-3CCB-476F-95B8-640E14A88A15}"/>
                    </c:ext>
                  </c:extLst>
                </c:dPt>
                <c:dPt>
                  <c:idx val="81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5F-3CCB-476F-95B8-640E14A88A15}"/>
                    </c:ext>
                  </c:extLst>
                </c:dPt>
                <c:dPt>
                  <c:idx val="81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61-3CCB-476F-95B8-640E14A88A15}"/>
                    </c:ext>
                  </c:extLst>
                </c:dPt>
                <c:dPt>
                  <c:idx val="81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63-3CCB-476F-95B8-640E14A88A15}"/>
                    </c:ext>
                  </c:extLst>
                </c:dPt>
                <c:dPt>
                  <c:idx val="81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65-3CCB-476F-95B8-640E14A88A15}"/>
                    </c:ext>
                  </c:extLst>
                </c:dPt>
                <c:dPt>
                  <c:idx val="81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67-3CCB-476F-95B8-640E14A88A15}"/>
                    </c:ext>
                  </c:extLst>
                </c:dPt>
                <c:dPt>
                  <c:idx val="82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69-3CCB-476F-95B8-640E14A88A15}"/>
                    </c:ext>
                  </c:extLst>
                </c:dPt>
                <c:dPt>
                  <c:idx val="82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6B-3CCB-476F-95B8-640E14A88A15}"/>
                    </c:ext>
                  </c:extLst>
                </c:dPt>
                <c:dPt>
                  <c:idx val="82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6D-3CCB-476F-95B8-640E14A88A15}"/>
                    </c:ext>
                  </c:extLst>
                </c:dPt>
                <c:dPt>
                  <c:idx val="82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6F-3CCB-476F-95B8-640E14A88A15}"/>
                    </c:ext>
                  </c:extLst>
                </c:dPt>
                <c:dPt>
                  <c:idx val="82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71-3CCB-476F-95B8-640E14A88A15}"/>
                    </c:ext>
                  </c:extLst>
                </c:dPt>
                <c:dPt>
                  <c:idx val="82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73-3CCB-476F-95B8-640E14A88A15}"/>
                    </c:ext>
                  </c:extLst>
                </c:dPt>
                <c:dPt>
                  <c:idx val="82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75-3CCB-476F-95B8-640E14A88A15}"/>
                    </c:ext>
                  </c:extLst>
                </c:dPt>
                <c:dPt>
                  <c:idx val="82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77-3CCB-476F-95B8-640E14A88A15}"/>
                    </c:ext>
                  </c:extLst>
                </c:dPt>
                <c:dPt>
                  <c:idx val="82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79-3CCB-476F-95B8-640E14A88A15}"/>
                    </c:ext>
                  </c:extLst>
                </c:dPt>
                <c:dPt>
                  <c:idx val="82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7B-3CCB-476F-95B8-640E14A88A15}"/>
                    </c:ext>
                  </c:extLst>
                </c:dPt>
                <c:dPt>
                  <c:idx val="83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7D-3CCB-476F-95B8-640E14A88A15}"/>
                    </c:ext>
                  </c:extLst>
                </c:dPt>
                <c:dPt>
                  <c:idx val="83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7F-3CCB-476F-95B8-640E14A88A15}"/>
                    </c:ext>
                  </c:extLst>
                </c:dPt>
                <c:dPt>
                  <c:idx val="83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81-3CCB-476F-95B8-640E14A88A15}"/>
                    </c:ext>
                  </c:extLst>
                </c:dPt>
                <c:dPt>
                  <c:idx val="83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83-3CCB-476F-95B8-640E14A88A15}"/>
                    </c:ext>
                  </c:extLst>
                </c:dPt>
                <c:dPt>
                  <c:idx val="83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85-3CCB-476F-95B8-640E14A88A15}"/>
                    </c:ext>
                  </c:extLst>
                </c:dPt>
                <c:dPt>
                  <c:idx val="83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87-3CCB-476F-95B8-640E14A88A15}"/>
                    </c:ext>
                  </c:extLst>
                </c:dPt>
                <c:dPt>
                  <c:idx val="83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89-3CCB-476F-95B8-640E14A88A15}"/>
                    </c:ext>
                  </c:extLst>
                </c:dPt>
                <c:dPt>
                  <c:idx val="83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8B-3CCB-476F-95B8-640E14A88A15}"/>
                    </c:ext>
                  </c:extLst>
                </c:dPt>
                <c:dPt>
                  <c:idx val="83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8D-3CCB-476F-95B8-640E14A88A15}"/>
                    </c:ext>
                  </c:extLst>
                </c:dPt>
                <c:dPt>
                  <c:idx val="83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8F-3CCB-476F-95B8-640E14A88A15}"/>
                    </c:ext>
                  </c:extLst>
                </c:dPt>
                <c:dPt>
                  <c:idx val="84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91-3CCB-476F-95B8-640E14A88A15}"/>
                    </c:ext>
                  </c:extLst>
                </c:dPt>
                <c:dPt>
                  <c:idx val="84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93-3CCB-476F-95B8-640E14A88A15}"/>
                    </c:ext>
                  </c:extLst>
                </c:dPt>
                <c:dPt>
                  <c:idx val="84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95-3CCB-476F-95B8-640E14A88A15}"/>
                    </c:ext>
                  </c:extLst>
                </c:dPt>
                <c:dPt>
                  <c:idx val="843"/>
                  <c:bubble3D val="0"/>
                  <c:spPr>
                    <a:solidFill>
                      <a:schemeClr val="accent6">
                        <a:lumMod val="75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97-3CCB-476F-95B8-640E14A88A15}"/>
                    </c:ext>
                  </c:extLst>
                </c:dPt>
                <c:dPt>
                  <c:idx val="84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99-3CCB-476F-95B8-640E14A88A15}"/>
                    </c:ext>
                  </c:extLst>
                </c:dPt>
                <c:dPt>
                  <c:idx val="84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9B-3CCB-476F-95B8-640E14A88A15}"/>
                    </c:ext>
                  </c:extLst>
                </c:dPt>
                <c:dPt>
                  <c:idx val="84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9D-3CCB-476F-95B8-640E14A88A15}"/>
                    </c:ext>
                  </c:extLst>
                </c:dPt>
                <c:dPt>
                  <c:idx val="84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9F-3CCB-476F-95B8-640E14A88A15}"/>
                    </c:ext>
                  </c:extLst>
                </c:dPt>
                <c:dPt>
                  <c:idx val="848"/>
                  <c:bubble3D val="0"/>
                  <c:spPr>
                    <a:solidFill>
                      <a:srgbClr val="0099FF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A1-3CCB-476F-95B8-640E14A88A15}"/>
                    </c:ext>
                  </c:extLst>
                </c:dPt>
                <c:dPt>
                  <c:idx val="84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A3-3CCB-476F-95B8-640E14A88A15}"/>
                    </c:ext>
                  </c:extLst>
                </c:dPt>
                <c:dPt>
                  <c:idx val="85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A5-3CCB-476F-95B8-640E14A88A15}"/>
                    </c:ext>
                  </c:extLst>
                </c:dPt>
                <c:dPt>
                  <c:idx val="851"/>
                  <c:bubble3D val="0"/>
                  <c:spPr>
                    <a:solidFill>
                      <a:schemeClr val="bg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A7-3CCB-476F-95B8-640E14A88A15}"/>
                    </c:ext>
                  </c:extLst>
                </c:dPt>
                <c:dPt>
                  <c:idx val="85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A9-3CCB-476F-95B8-640E14A88A15}"/>
                    </c:ext>
                  </c:extLst>
                </c:dPt>
                <c:dPt>
                  <c:idx val="853"/>
                  <c:bubble3D val="0"/>
                  <c:spPr>
                    <a:solidFill>
                      <a:srgbClr val="FFFF00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AB-3CCB-476F-95B8-640E14A88A15}"/>
                    </c:ext>
                  </c:extLst>
                </c:dPt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 cap="flat" cmpd="sng" algn="ctr">
                        <a:solidFill>
                          <a:schemeClr val="tx1">
                            <a:lumMod val="35000"/>
                            <a:lumOff val="65000"/>
                          </a:schemeClr>
                        </a:solidFill>
                        <a:round/>
                      </a:ln>
                      <a:effectLst/>
                    </c:spPr>
                  </c:leaderLines>
                  <c:extLst xmlns:c15="http://schemas.microsoft.com/office/drawing/2012/chart">
                    <c:ext xmlns:c15="http://schemas.microsoft.com/office/drawing/2012/chart" uri="{CE6537A1-D6FC-4f65-9D91-7224C49458BB}"/>
                  </c:extLst>
                </c:dLbls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('Données '!$C$199,'Données '!$E$199,'Données '!$G$199,'Données '!$I$199,'Données '!$K$199,'Données '!$M$199,'Données '!$O$199)</c15:sqref>
                        </c15:formulaRef>
                      </c:ext>
                    </c:extLst>
                    <c:strCache>
                      <c:ptCount val="7"/>
                      <c:pt idx="0">
                        <c:v>ESQ ==&gt; APD</c:v>
                      </c:pt>
                      <c:pt idx="1">
                        <c:v>Fin études/AO</c:v>
                      </c:pt>
                      <c:pt idx="2">
                        <c:v>OS</c:v>
                      </c:pt>
                      <c:pt idx="3">
                        <c:v>Travaux</c:v>
                      </c:pt>
                      <c:pt idx="4">
                        <c:v>GPA</c:v>
                      </c:pt>
                      <c:pt idx="5">
                        <c:v>Clôture défisc</c:v>
                      </c:pt>
                      <c:pt idx="6">
                        <c:v>STOP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('Données '!$C$201,'Données '!$E$201,'Données '!$G$201,'Données '!$I$201,'Données '!$K$201,'Données '!$M$201,'Données '!$O$201)</c15:sqref>
                        </c15:formulaRef>
                      </c:ext>
                    </c:extLst>
                    <c:numCache>
                      <c:formatCode>General</c:formatCode>
                      <c:ptCount val="7"/>
                      <c:pt idx="0">
                        <c:v>3</c:v>
                      </c:pt>
                      <c:pt idx="1">
                        <c:v>1</c:v>
                      </c:pt>
                      <c:pt idx="2">
                        <c:v>0</c:v>
                      </c:pt>
                      <c:pt idx="3">
                        <c:v>2</c:v>
                      </c:pt>
                      <c:pt idx="4">
                        <c:v>0</c:v>
                      </c:pt>
                      <c:pt idx="5">
                        <c:v>0</c:v>
                      </c:pt>
                      <c:pt idx="6">
                        <c:v>2</c:v>
                      </c:pt>
                    </c:numCache>
                  </c:numRef>
                </c:val>
                <c:extLst xmlns:c15="http://schemas.microsoft.com/office/drawing/2012/chart">
                  <c:ext xmlns:c16="http://schemas.microsoft.com/office/drawing/2014/chart" uri="{C3380CC4-5D6E-409C-BE32-E72D297353CC}">
                    <c16:uniqueId val="{000006AC-3CCB-476F-95B8-640E14A88A15}"/>
                  </c:ext>
                </c:extLst>
              </c15:ser>
            </c15:filteredPieSeries>
            <c15:filteredPieSeries>
              <c15:ser>
                <c:idx val="2"/>
                <c:order val="2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'Données '!$B$202</c15:sqref>
                        </c15:formulaRef>
                      </c:ext>
                    </c:extLst>
                    <c:strCache>
                      <c:ptCount val="1"/>
                      <c:pt idx="0">
                        <c:v>MMA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5B-3CCB-476F-95B8-640E14A88A15}"/>
                    </c:ext>
                  </c:extLst>
                </c:dPt>
                <c:dPt>
                  <c:idx val="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5D-3CCB-476F-95B8-640E14A88A15}"/>
                    </c:ext>
                  </c:extLst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5F-3CCB-476F-95B8-640E14A88A15}"/>
                    </c:ext>
                  </c:extLst>
                </c:dPt>
                <c:dPt>
                  <c:idx val="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61-3CCB-476F-95B8-640E14A88A15}"/>
                    </c:ext>
                  </c:extLst>
                </c:dPt>
                <c:dPt>
                  <c:idx val="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63-3CCB-476F-95B8-640E14A88A15}"/>
                    </c:ext>
                  </c:extLst>
                </c:dPt>
                <c:dPt>
                  <c:idx val="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65-3CCB-476F-95B8-640E14A88A15}"/>
                    </c:ext>
                  </c:extLst>
                </c:dPt>
                <c:dPt>
                  <c:idx val="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67-3CCB-476F-95B8-640E14A88A15}"/>
                    </c:ext>
                  </c:extLst>
                </c:dPt>
                <c:dPt>
                  <c:idx val="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69-3CCB-476F-95B8-640E14A88A15}"/>
                    </c:ext>
                  </c:extLst>
                </c:dPt>
                <c:dPt>
                  <c:idx val="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6B-3CCB-476F-95B8-640E14A88A15}"/>
                    </c:ext>
                  </c:extLst>
                </c:dPt>
                <c:dPt>
                  <c:idx val="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6D-3CCB-476F-95B8-640E14A88A15}"/>
                    </c:ext>
                  </c:extLst>
                </c:dPt>
                <c:dPt>
                  <c:idx val="1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6F-3CCB-476F-95B8-640E14A88A15}"/>
                    </c:ext>
                  </c:extLst>
                </c:dPt>
                <c:dPt>
                  <c:idx val="1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71-3CCB-476F-95B8-640E14A88A15}"/>
                    </c:ext>
                  </c:extLst>
                </c:dPt>
                <c:dPt>
                  <c:idx val="1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73-3CCB-476F-95B8-640E14A88A15}"/>
                    </c:ext>
                  </c:extLst>
                </c:dPt>
                <c:dPt>
                  <c:idx val="1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75-3CCB-476F-95B8-640E14A88A15}"/>
                    </c:ext>
                  </c:extLst>
                </c:dPt>
                <c:dPt>
                  <c:idx val="1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77-3CCB-476F-95B8-640E14A88A15}"/>
                    </c:ext>
                  </c:extLst>
                </c:dPt>
                <c:dPt>
                  <c:idx val="1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79-3CCB-476F-95B8-640E14A88A15}"/>
                    </c:ext>
                  </c:extLst>
                </c:dPt>
                <c:dPt>
                  <c:idx val="1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7B-3CCB-476F-95B8-640E14A88A15}"/>
                    </c:ext>
                  </c:extLst>
                </c:dPt>
                <c:dPt>
                  <c:idx val="1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7D-3CCB-476F-95B8-640E14A88A15}"/>
                    </c:ext>
                  </c:extLst>
                </c:dPt>
                <c:dPt>
                  <c:idx val="1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7F-3CCB-476F-95B8-640E14A88A15}"/>
                    </c:ext>
                  </c:extLst>
                </c:dPt>
                <c:dPt>
                  <c:idx val="1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81-3CCB-476F-95B8-640E14A88A15}"/>
                    </c:ext>
                  </c:extLst>
                </c:dPt>
                <c:dPt>
                  <c:idx val="2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83-3CCB-476F-95B8-640E14A88A15}"/>
                    </c:ext>
                  </c:extLst>
                </c:dPt>
                <c:dPt>
                  <c:idx val="2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85-3CCB-476F-95B8-640E14A88A15}"/>
                    </c:ext>
                  </c:extLst>
                </c:dPt>
                <c:dPt>
                  <c:idx val="2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87-3CCB-476F-95B8-640E14A88A15}"/>
                    </c:ext>
                  </c:extLst>
                </c:dPt>
                <c:dPt>
                  <c:idx val="2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89-3CCB-476F-95B8-640E14A88A15}"/>
                    </c:ext>
                  </c:extLst>
                </c:dPt>
                <c:dPt>
                  <c:idx val="2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8B-3CCB-476F-95B8-640E14A88A15}"/>
                    </c:ext>
                  </c:extLst>
                </c:dPt>
                <c:dPt>
                  <c:idx val="2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8D-3CCB-476F-95B8-640E14A88A15}"/>
                    </c:ext>
                  </c:extLst>
                </c:dPt>
                <c:dPt>
                  <c:idx val="2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8F-3CCB-476F-95B8-640E14A88A15}"/>
                    </c:ext>
                  </c:extLst>
                </c:dPt>
                <c:dPt>
                  <c:idx val="2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91-3CCB-476F-95B8-640E14A88A15}"/>
                    </c:ext>
                  </c:extLst>
                </c:dPt>
                <c:dPt>
                  <c:idx val="2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93-3CCB-476F-95B8-640E14A88A15}"/>
                    </c:ext>
                  </c:extLst>
                </c:dPt>
                <c:dPt>
                  <c:idx val="2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95-3CCB-476F-95B8-640E14A88A15}"/>
                    </c:ext>
                  </c:extLst>
                </c:dPt>
                <c:dPt>
                  <c:idx val="3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97-3CCB-476F-95B8-640E14A88A15}"/>
                    </c:ext>
                  </c:extLst>
                </c:dPt>
                <c:dPt>
                  <c:idx val="3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99-3CCB-476F-95B8-640E14A88A15}"/>
                    </c:ext>
                  </c:extLst>
                </c:dPt>
                <c:dPt>
                  <c:idx val="3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9B-3CCB-476F-95B8-640E14A88A15}"/>
                    </c:ext>
                  </c:extLst>
                </c:dPt>
                <c:dPt>
                  <c:idx val="3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9D-3CCB-476F-95B8-640E14A88A15}"/>
                    </c:ext>
                  </c:extLst>
                </c:dPt>
                <c:dPt>
                  <c:idx val="3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9F-3CCB-476F-95B8-640E14A88A15}"/>
                    </c:ext>
                  </c:extLst>
                </c:dPt>
                <c:dPt>
                  <c:idx val="3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A1-3CCB-476F-95B8-640E14A88A15}"/>
                    </c:ext>
                  </c:extLst>
                </c:dPt>
                <c:dPt>
                  <c:idx val="3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A3-3CCB-476F-95B8-640E14A88A15}"/>
                    </c:ext>
                  </c:extLst>
                </c:dPt>
                <c:dPt>
                  <c:idx val="3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A5-3CCB-476F-95B8-640E14A88A15}"/>
                    </c:ext>
                  </c:extLst>
                </c:dPt>
                <c:dPt>
                  <c:idx val="3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A7-3CCB-476F-95B8-640E14A88A15}"/>
                    </c:ext>
                  </c:extLst>
                </c:dPt>
                <c:dPt>
                  <c:idx val="3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A9-3CCB-476F-95B8-640E14A88A15}"/>
                    </c:ext>
                  </c:extLst>
                </c:dPt>
                <c:dPt>
                  <c:idx val="4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AB-3CCB-476F-95B8-640E14A88A15}"/>
                    </c:ext>
                  </c:extLst>
                </c:dPt>
                <c:dPt>
                  <c:idx val="4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AD-3CCB-476F-95B8-640E14A88A15}"/>
                    </c:ext>
                  </c:extLst>
                </c:dPt>
                <c:dPt>
                  <c:idx val="4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AF-3CCB-476F-95B8-640E14A88A15}"/>
                    </c:ext>
                  </c:extLst>
                </c:dPt>
                <c:dPt>
                  <c:idx val="4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B1-3CCB-476F-95B8-640E14A88A15}"/>
                    </c:ext>
                  </c:extLst>
                </c:dPt>
                <c:dPt>
                  <c:idx val="4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B3-3CCB-476F-95B8-640E14A88A15}"/>
                    </c:ext>
                  </c:extLst>
                </c:dPt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 cap="flat" cmpd="sng" algn="ctr">
                        <a:solidFill>
                          <a:schemeClr val="tx1">
                            <a:lumMod val="35000"/>
                            <a:lumOff val="65000"/>
                          </a:schemeClr>
                        </a:solidFill>
                        <a:round/>
                      </a:ln>
                      <a:effectLst/>
                    </c:spPr>
                  </c:leaderLines>
                  <c:extLst xmlns:c15="http://schemas.microsoft.com/office/drawing/2012/chart">
                    <c:ext xmlns:c15="http://schemas.microsoft.com/office/drawing/2012/chart" uri="{CE6537A1-D6FC-4f65-9D91-7224C49458BB}"/>
                  </c:extLst>
                </c:dLbls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('Données '!$C$199,'Données '!$E$199,'Données '!$G$199,'Données '!$I$199,'Données '!$K$199,'Données '!$M$199,'Données '!$O$199)</c15:sqref>
                        </c15:formulaRef>
                      </c:ext>
                    </c:extLst>
                    <c:strCache>
                      <c:ptCount val="7"/>
                      <c:pt idx="0">
                        <c:v>ESQ ==&gt; APD</c:v>
                      </c:pt>
                      <c:pt idx="1">
                        <c:v>Fin études/AO</c:v>
                      </c:pt>
                      <c:pt idx="2">
                        <c:v>OS</c:v>
                      </c:pt>
                      <c:pt idx="3">
                        <c:v>Travaux</c:v>
                      </c:pt>
                      <c:pt idx="4">
                        <c:v>GPA</c:v>
                      </c:pt>
                      <c:pt idx="5">
                        <c:v>Clôture défisc</c:v>
                      </c:pt>
                      <c:pt idx="6">
                        <c:v>STOP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('Données '!$C$202,'Données '!$E$202,'Données '!$G$202,'Données '!$I$202,'Données '!$K$202,'Données '!$M$202,'Données '!$O$202)</c15:sqref>
                        </c15:formulaRef>
                      </c:ext>
                    </c:extLst>
                    <c:numCache>
                      <c:formatCode>General</c:formatCode>
                      <c:ptCount val="7"/>
                      <c:pt idx="0">
                        <c:v>2</c:v>
                      </c:pt>
                      <c:pt idx="1">
                        <c:v>2</c:v>
                      </c:pt>
                      <c:pt idx="2">
                        <c:v>0</c:v>
                      </c:pt>
                      <c:pt idx="3">
                        <c:v>1</c:v>
                      </c:pt>
                      <c:pt idx="4">
                        <c:v>1</c:v>
                      </c:pt>
                      <c:pt idx="5">
                        <c:v>0</c:v>
                      </c:pt>
                      <c:pt idx="6">
                        <c:v>0</c:v>
                      </c:pt>
                    </c:numCache>
                  </c:numRef>
                </c:val>
                <c:extLst xmlns:c15="http://schemas.microsoft.com/office/drawing/2012/chart">
                  <c:ext xmlns:c16="http://schemas.microsoft.com/office/drawing/2014/chart" uri="{C3380CC4-5D6E-409C-BE32-E72D297353CC}">
                    <c16:uniqueId val="{00000DB4-3CCB-476F-95B8-640E14A88A15}"/>
                  </c:ext>
                </c:extLst>
              </c15:ser>
            </c15:filteredPieSeries>
            <c15:filteredPieSeries>
              <c15:ser>
                <c:idx val="3"/>
                <c:order val="3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'Données '!$B$203</c15:sqref>
                        </c15:formulaRef>
                      </c:ext>
                    </c:extLst>
                    <c:strCache>
                      <c:ptCount val="1"/>
                      <c:pt idx="0">
                        <c:v>DAM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B6-3CCB-476F-95B8-640E14A88A15}"/>
                    </c:ext>
                  </c:extLst>
                </c:dPt>
                <c:dPt>
                  <c:idx val="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B8-3CCB-476F-95B8-640E14A88A15}"/>
                    </c:ext>
                  </c:extLst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BA-3CCB-476F-95B8-640E14A88A15}"/>
                    </c:ext>
                  </c:extLst>
                </c:dPt>
                <c:dPt>
                  <c:idx val="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BC-3CCB-476F-95B8-640E14A88A15}"/>
                    </c:ext>
                  </c:extLst>
                </c:dPt>
                <c:dPt>
                  <c:idx val="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BE-3CCB-476F-95B8-640E14A88A15}"/>
                    </c:ext>
                  </c:extLst>
                </c:dPt>
                <c:dPt>
                  <c:idx val="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C0-3CCB-476F-95B8-640E14A88A15}"/>
                    </c:ext>
                  </c:extLst>
                </c:dPt>
                <c:dPt>
                  <c:idx val="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C2-3CCB-476F-95B8-640E14A88A15}"/>
                    </c:ext>
                  </c:extLst>
                </c:dPt>
                <c:dPt>
                  <c:idx val="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C4-3CCB-476F-95B8-640E14A88A15}"/>
                    </c:ext>
                  </c:extLst>
                </c:dPt>
                <c:dPt>
                  <c:idx val="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C6-3CCB-476F-95B8-640E14A88A15}"/>
                    </c:ext>
                  </c:extLst>
                </c:dPt>
                <c:dPt>
                  <c:idx val="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C8-3CCB-476F-95B8-640E14A88A15}"/>
                    </c:ext>
                  </c:extLst>
                </c:dPt>
                <c:dPt>
                  <c:idx val="1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CA-3CCB-476F-95B8-640E14A88A15}"/>
                    </c:ext>
                  </c:extLst>
                </c:dPt>
                <c:dPt>
                  <c:idx val="1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CC-3CCB-476F-95B8-640E14A88A15}"/>
                    </c:ext>
                  </c:extLst>
                </c:dPt>
                <c:dPt>
                  <c:idx val="1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CE-3CCB-476F-95B8-640E14A88A15}"/>
                    </c:ext>
                  </c:extLst>
                </c:dPt>
                <c:dPt>
                  <c:idx val="1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D0-3CCB-476F-95B8-640E14A88A15}"/>
                    </c:ext>
                  </c:extLst>
                </c:dPt>
                <c:dPt>
                  <c:idx val="1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D2-3CCB-476F-95B8-640E14A88A15}"/>
                    </c:ext>
                  </c:extLst>
                </c:dPt>
                <c:dPt>
                  <c:idx val="1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D4-3CCB-476F-95B8-640E14A88A15}"/>
                    </c:ext>
                  </c:extLst>
                </c:dPt>
                <c:dPt>
                  <c:idx val="1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D6-3CCB-476F-95B8-640E14A88A15}"/>
                    </c:ext>
                  </c:extLst>
                </c:dPt>
                <c:dPt>
                  <c:idx val="1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D8-3CCB-476F-95B8-640E14A88A15}"/>
                    </c:ext>
                  </c:extLst>
                </c:dPt>
                <c:dPt>
                  <c:idx val="1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DA-3CCB-476F-95B8-640E14A88A15}"/>
                    </c:ext>
                  </c:extLst>
                </c:dPt>
                <c:dPt>
                  <c:idx val="1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DC-3CCB-476F-95B8-640E14A88A15}"/>
                    </c:ext>
                  </c:extLst>
                </c:dPt>
                <c:dPt>
                  <c:idx val="2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DE-3CCB-476F-95B8-640E14A88A15}"/>
                    </c:ext>
                  </c:extLst>
                </c:dPt>
                <c:dPt>
                  <c:idx val="2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E0-3CCB-476F-95B8-640E14A88A15}"/>
                    </c:ext>
                  </c:extLst>
                </c:dPt>
                <c:dPt>
                  <c:idx val="2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E2-3CCB-476F-95B8-640E14A88A15}"/>
                    </c:ext>
                  </c:extLst>
                </c:dPt>
                <c:dPt>
                  <c:idx val="2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E4-3CCB-476F-95B8-640E14A88A15}"/>
                    </c:ext>
                  </c:extLst>
                </c:dPt>
                <c:dPt>
                  <c:idx val="2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E6-3CCB-476F-95B8-640E14A88A15}"/>
                    </c:ext>
                  </c:extLst>
                </c:dPt>
                <c:dPt>
                  <c:idx val="2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E8-3CCB-476F-95B8-640E14A88A15}"/>
                    </c:ext>
                  </c:extLst>
                </c:dPt>
                <c:dPt>
                  <c:idx val="2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EA-3CCB-476F-95B8-640E14A88A15}"/>
                    </c:ext>
                  </c:extLst>
                </c:dPt>
                <c:dPt>
                  <c:idx val="2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EC-3CCB-476F-95B8-640E14A88A15}"/>
                    </c:ext>
                  </c:extLst>
                </c:dPt>
                <c:dPt>
                  <c:idx val="2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EE-3CCB-476F-95B8-640E14A88A15}"/>
                    </c:ext>
                  </c:extLst>
                </c:dPt>
                <c:dPt>
                  <c:idx val="2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F0-3CCB-476F-95B8-640E14A88A15}"/>
                    </c:ext>
                  </c:extLst>
                </c:dPt>
                <c:dPt>
                  <c:idx val="3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F2-3CCB-476F-95B8-640E14A88A15}"/>
                    </c:ext>
                  </c:extLst>
                </c:dPt>
                <c:dPt>
                  <c:idx val="3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F4-3CCB-476F-95B8-640E14A88A15}"/>
                    </c:ext>
                  </c:extLst>
                </c:dPt>
                <c:dPt>
                  <c:idx val="3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F6-3CCB-476F-95B8-640E14A88A15}"/>
                    </c:ext>
                  </c:extLst>
                </c:dPt>
                <c:dPt>
                  <c:idx val="3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F8-3CCB-476F-95B8-640E14A88A15}"/>
                    </c:ext>
                  </c:extLst>
                </c:dPt>
                <c:dPt>
                  <c:idx val="3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FA-3CCB-476F-95B8-640E14A88A15}"/>
                    </c:ext>
                  </c:extLst>
                </c:dPt>
                <c:dPt>
                  <c:idx val="3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FC-3CCB-476F-95B8-640E14A88A15}"/>
                    </c:ext>
                  </c:extLst>
                </c:dPt>
                <c:dPt>
                  <c:idx val="3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FE-3CCB-476F-95B8-640E14A88A15}"/>
                    </c:ext>
                  </c:extLst>
                </c:dPt>
                <c:dPt>
                  <c:idx val="3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00-3CCB-476F-95B8-640E14A88A15}"/>
                    </c:ext>
                  </c:extLst>
                </c:dPt>
                <c:dPt>
                  <c:idx val="3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02-3CCB-476F-95B8-640E14A88A15}"/>
                    </c:ext>
                  </c:extLst>
                </c:dPt>
                <c:dPt>
                  <c:idx val="3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04-3CCB-476F-95B8-640E14A88A15}"/>
                    </c:ext>
                  </c:extLst>
                </c:dPt>
                <c:dPt>
                  <c:idx val="4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06-3CCB-476F-95B8-640E14A88A15}"/>
                    </c:ext>
                  </c:extLst>
                </c:dPt>
                <c:dPt>
                  <c:idx val="4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08-3CCB-476F-95B8-640E14A88A15}"/>
                    </c:ext>
                  </c:extLst>
                </c:dPt>
                <c:dPt>
                  <c:idx val="4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0A-3CCB-476F-95B8-640E14A88A15}"/>
                    </c:ext>
                  </c:extLst>
                </c:dPt>
                <c:dPt>
                  <c:idx val="4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0C-3CCB-476F-95B8-640E14A88A15}"/>
                    </c:ext>
                  </c:extLst>
                </c:dPt>
                <c:dPt>
                  <c:idx val="4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0E-3CCB-476F-95B8-640E14A88A15}"/>
                    </c:ext>
                  </c:extLst>
                </c:dPt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 cap="flat" cmpd="sng" algn="ctr">
                        <a:solidFill>
                          <a:schemeClr val="tx1">
                            <a:lumMod val="35000"/>
                            <a:lumOff val="65000"/>
                          </a:schemeClr>
                        </a:solidFill>
                        <a:round/>
                      </a:ln>
                      <a:effectLst/>
                    </c:spPr>
                  </c:leaderLines>
                  <c:extLst xmlns:c15="http://schemas.microsoft.com/office/drawing/2012/chart">
                    <c:ext xmlns:c15="http://schemas.microsoft.com/office/drawing/2012/chart" uri="{CE6537A1-D6FC-4f65-9D91-7224C49458BB}"/>
                  </c:extLst>
                </c:dLbls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('Données '!$C$199,'Données '!$E$199,'Données '!$G$199,'Données '!$I$199,'Données '!$K$199,'Données '!$M$199,'Données '!$O$199)</c15:sqref>
                        </c15:formulaRef>
                      </c:ext>
                    </c:extLst>
                    <c:strCache>
                      <c:ptCount val="7"/>
                      <c:pt idx="0">
                        <c:v>ESQ ==&gt; APD</c:v>
                      </c:pt>
                      <c:pt idx="1">
                        <c:v>Fin études/AO</c:v>
                      </c:pt>
                      <c:pt idx="2">
                        <c:v>OS</c:v>
                      </c:pt>
                      <c:pt idx="3">
                        <c:v>Travaux</c:v>
                      </c:pt>
                      <c:pt idx="4">
                        <c:v>GPA</c:v>
                      </c:pt>
                      <c:pt idx="5">
                        <c:v>Clôture défisc</c:v>
                      </c:pt>
                      <c:pt idx="6">
                        <c:v>STOP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('Données '!$C$203,'Données '!$E$203,'Données '!$G$203,'Données '!$I$203,'Données '!$K$203,'Données '!$M$203,'Données '!$O$203)</c15:sqref>
                        </c15:formulaRef>
                      </c:ext>
                    </c:extLst>
                    <c:numCache>
                      <c:formatCode>General</c:formatCode>
                      <c:ptCount val="7"/>
                      <c:pt idx="0">
                        <c:v>0</c:v>
                      </c:pt>
                      <c:pt idx="1">
                        <c:v>2</c:v>
                      </c:pt>
                      <c:pt idx="2">
                        <c:v>0</c:v>
                      </c:pt>
                      <c:pt idx="3">
                        <c:v>1</c:v>
                      </c:pt>
                      <c:pt idx="4">
                        <c:v>0</c:v>
                      </c:pt>
                      <c:pt idx="5">
                        <c:v>1</c:v>
                      </c:pt>
                      <c:pt idx="6">
                        <c:v>0</c:v>
                      </c:pt>
                    </c:numCache>
                  </c:numRef>
                </c:val>
                <c:extLst xmlns:c15="http://schemas.microsoft.com/office/drawing/2012/chart">
                  <c:ext xmlns:c16="http://schemas.microsoft.com/office/drawing/2014/chart" uri="{C3380CC4-5D6E-409C-BE32-E72D297353CC}">
                    <c16:uniqueId val="{00000E0F-3CCB-476F-95B8-640E14A88A15}"/>
                  </c:ext>
                </c:extLst>
              </c15:ser>
            </c15:filteredPieSeries>
            <c15:filteredPieSeries>
              <c15:ser>
                <c:idx val="4"/>
                <c:order val="4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'Données '!$B$204</c15:sqref>
                        </c15:formulaRef>
                      </c:ext>
                    </c:extLst>
                    <c:strCache>
                      <c:ptCount val="1"/>
                      <c:pt idx="0">
                        <c:v>NLE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11-3CCB-476F-95B8-640E14A88A15}"/>
                    </c:ext>
                  </c:extLst>
                </c:dPt>
                <c:dPt>
                  <c:idx val="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13-3CCB-476F-95B8-640E14A88A15}"/>
                    </c:ext>
                  </c:extLst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15-3CCB-476F-95B8-640E14A88A15}"/>
                    </c:ext>
                  </c:extLst>
                </c:dPt>
                <c:dPt>
                  <c:idx val="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17-3CCB-476F-95B8-640E14A88A15}"/>
                    </c:ext>
                  </c:extLst>
                </c:dPt>
                <c:dPt>
                  <c:idx val="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19-3CCB-476F-95B8-640E14A88A15}"/>
                    </c:ext>
                  </c:extLst>
                </c:dPt>
                <c:dPt>
                  <c:idx val="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1B-3CCB-476F-95B8-640E14A88A15}"/>
                    </c:ext>
                  </c:extLst>
                </c:dPt>
                <c:dPt>
                  <c:idx val="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1D-3CCB-476F-95B8-640E14A88A15}"/>
                    </c:ext>
                  </c:extLst>
                </c:dPt>
                <c:dPt>
                  <c:idx val="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1F-3CCB-476F-95B8-640E14A88A15}"/>
                    </c:ext>
                  </c:extLst>
                </c:dPt>
                <c:dPt>
                  <c:idx val="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21-3CCB-476F-95B8-640E14A88A15}"/>
                    </c:ext>
                  </c:extLst>
                </c:dPt>
                <c:dPt>
                  <c:idx val="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23-3CCB-476F-95B8-640E14A88A15}"/>
                    </c:ext>
                  </c:extLst>
                </c:dPt>
                <c:dPt>
                  <c:idx val="1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25-3CCB-476F-95B8-640E14A88A15}"/>
                    </c:ext>
                  </c:extLst>
                </c:dPt>
                <c:dPt>
                  <c:idx val="1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27-3CCB-476F-95B8-640E14A88A15}"/>
                    </c:ext>
                  </c:extLst>
                </c:dPt>
                <c:dPt>
                  <c:idx val="1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29-3CCB-476F-95B8-640E14A88A15}"/>
                    </c:ext>
                  </c:extLst>
                </c:dPt>
                <c:dPt>
                  <c:idx val="1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2B-3CCB-476F-95B8-640E14A88A15}"/>
                    </c:ext>
                  </c:extLst>
                </c:dPt>
                <c:dPt>
                  <c:idx val="1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2D-3CCB-476F-95B8-640E14A88A15}"/>
                    </c:ext>
                  </c:extLst>
                </c:dPt>
                <c:dPt>
                  <c:idx val="1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2F-3CCB-476F-95B8-640E14A88A15}"/>
                    </c:ext>
                  </c:extLst>
                </c:dPt>
                <c:dPt>
                  <c:idx val="1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31-3CCB-476F-95B8-640E14A88A15}"/>
                    </c:ext>
                  </c:extLst>
                </c:dPt>
                <c:dPt>
                  <c:idx val="1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33-3CCB-476F-95B8-640E14A88A15}"/>
                    </c:ext>
                  </c:extLst>
                </c:dPt>
                <c:dPt>
                  <c:idx val="1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35-3CCB-476F-95B8-640E14A88A15}"/>
                    </c:ext>
                  </c:extLst>
                </c:dPt>
                <c:dPt>
                  <c:idx val="1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37-3CCB-476F-95B8-640E14A88A15}"/>
                    </c:ext>
                  </c:extLst>
                </c:dPt>
                <c:dPt>
                  <c:idx val="2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39-3CCB-476F-95B8-640E14A88A15}"/>
                    </c:ext>
                  </c:extLst>
                </c:dPt>
                <c:dPt>
                  <c:idx val="2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3B-3CCB-476F-95B8-640E14A88A15}"/>
                    </c:ext>
                  </c:extLst>
                </c:dPt>
                <c:dPt>
                  <c:idx val="2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3D-3CCB-476F-95B8-640E14A88A15}"/>
                    </c:ext>
                  </c:extLst>
                </c:dPt>
                <c:dPt>
                  <c:idx val="2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3F-3CCB-476F-95B8-640E14A88A15}"/>
                    </c:ext>
                  </c:extLst>
                </c:dPt>
                <c:dPt>
                  <c:idx val="2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41-3CCB-476F-95B8-640E14A88A15}"/>
                    </c:ext>
                  </c:extLst>
                </c:dPt>
                <c:dPt>
                  <c:idx val="2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43-3CCB-476F-95B8-640E14A88A15}"/>
                    </c:ext>
                  </c:extLst>
                </c:dPt>
                <c:dPt>
                  <c:idx val="2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45-3CCB-476F-95B8-640E14A88A15}"/>
                    </c:ext>
                  </c:extLst>
                </c:dPt>
                <c:dPt>
                  <c:idx val="2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47-3CCB-476F-95B8-640E14A88A15}"/>
                    </c:ext>
                  </c:extLst>
                </c:dPt>
                <c:dPt>
                  <c:idx val="2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49-3CCB-476F-95B8-640E14A88A15}"/>
                    </c:ext>
                  </c:extLst>
                </c:dPt>
                <c:dPt>
                  <c:idx val="2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4B-3CCB-476F-95B8-640E14A88A15}"/>
                    </c:ext>
                  </c:extLst>
                </c:dPt>
                <c:dPt>
                  <c:idx val="3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4D-3CCB-476F-95B8-640E14A88A15}"/>
                    </c:ext>
                  </c:extLst>
                </c:dPt>
                <c:dPt>
                  <c:idx val="3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4F-3CCB-476F-95B8-640E14A88A15}"/>
                    </c:ext>
                  </c:extLst>
                </c:dPt>
                <c:dPt>
                  <c:idx val="3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51-3CCB-476F-95B8-640E14A88A15}"/>
                    </c:ext>
                  </c:extLst>
                </c:dPt>
                <c:dPt>
                  <c:idx val="3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53-3CCB-476F-95B8-640E14A88A15}"/>
                    </c:ext>
                  </c:extLst>
                </c:dPt>
                <c:dPt>
                  <c:idx val="3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55-3CCB-476F-95B8-640E14A88A15}"/>
                    </c:ext>
                  </c:extLst>
                </c:dPt>
                <c:dPt>
                  <c:idx val="3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57-3CCB-476F-95B8-640E14A88A15}"/>
                    </c:ext>
                  </c:extLst>
                </c:dPt>
                <c:dPt>
                  <c:idx val="3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59-3CCB-476F-95B8-640E14A88A15}"/>
                    </c:ext>
                  </c:extLst>
                </c:dPt>
                <c:dPt>
                  <c:idx val="3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5B-3CCB-476F-95B8-640E14A88A15}"/>
                    </c:ext>
                  </c:extLst>
                </c:dPt>
                <c:dPt>
                  <c:idx val="3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5D-3CCB-476F-95B8-640E14A88A15}"/>
                    </c:ext>
                  </c:extLst>
                </c:dPt>
                <c:dPt>
                  <c:idx val="3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5F-3CCB-476F-95B8-640E14A88A15}"/>
                    </c:ext>
                  </c:extLst>
                </c:dPt>
                <c:dPt>
                  <c:idx val="4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61-3CCB-476F-95B8-640E14A88A15}"/>
                    </c:ext>
                  </c:extLst>
                </c:dPt>
                <c:dPt>
                  <c:idx val="4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63-3CCB-476F-95B8-640E14A88A15}"/>
                    </c:ext>
                  </c:extLst>
                </c:dPt>
                <c:dPt>
                  <c:idx val="4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65-3CCB-476F-95B8-640E14A88A15}"/>
                    </c:ext>
                  </c:extLst>
                </c:dPt>
                <c:dPt>
                  <c:idx val="4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67-3CCB-476F-95B8-640E14A88A15}"/>
                    </c:ext>
                  </c:extLst>
                </c:dPt>
                <c:dPt>
                  <c:idx val="4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69-3CCB-476F-95B8-640E14A88A15}"/>
                    </c:ext>
                  </c:extLst>
                </c:dPt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 cap="flat" cmpd="sng" algn="ctr">
                        <a:solidFill>
                          <a:schemeClr val="tx1">
                            <a:lumMod val="35000"/>
                            <a:lumOff val="65000"/>
                          </a:schemeClr>
                        </a:solidFill>
                        <a:round/>
                      </a:ln>
                      <a:effectLst/>
                    </c:spPr>
                  </c:leaderLines>
                  <c:extLst xmlns:c15="http://schemas.microsoft.com/office/drawing/2012/chart">
                    <c:ext xmlns:c15="http://schemas.microsoft.com/office/drawing/2012/chart" uri="{CE6537A1-D6FC-4f65-9D91-7224C49458BB}"/>
                  </c:extLst>
                </c:dLbls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('Données '!$C$199,'Données '!$E$199,'Données '!$G$199,'Données '!$I$199,'Données '!$K$199,'Données '!$M$199,'Données '!$O$199)</c15:sqref>
                        </c15:formulaRef>
                      </c:ext>
                    </c:extLst>
                    <c:strCache>
                      <c:ptCount val="7"/>
                      <c:pt idx="0">
                        <c:v>ESQ ==&gt; APD</c:v>
                      </c:pt>
                      <c:pt idx="1">
                        <c:v>Fin études/AO</c:v>
                      </c:pt>
                      <c:pt idx="2">
                        <c:v>OS</c:v>
                      </c:pt>
                      <c:pt idx="3">
                        <c:v>Travaux</c:v>
                      </c:pt>
                      <c:pt idx="4">
                        <c:v>GPA</c:v>
                      </c:pt>
                      <c:pt idx="5">
                        <c:v>Clôture défisc</c:v>
                      </c:pt>
                      <c:pt idx="6">
                        <c:v>STOP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('Données '!$C$204,'Données '!$E$204,'Données '!$G$204,'Données '!$I$204,'Données '!$K$204,'Données '!$M$204,'Données '!$O$204)</c15:sqref>
                        </c15:formulaRef>
                      </c:ext>
                    </c:extLst>
                    <c:numCache>
                      <c:formatCode>General</c:formatCode>
                      <c:ptCount val="7"/>
                      <c:pt idx="0">
                        <c:v>0</c:v>
                      </c:pt>
                      <c:pt idx="1">
                        <c:v>4</c:v>
                      </c:pt>
                      <c:pt idx="2">
                        <c:v>0</c:v>
                      </c:pt>
                      <c:pt idx="3">
                        <c:v>2</c:v>
                      </c:pt>
                      <c:pt idx="4">
                        <c:v>0</c:v>
                      </c:pt>
                      <c:pt idx="5">
                        <c:v>0</c:v>
                      </c:pt>
                      <c:pt idx="6">
                        <c:v>0</c:v>
                      </c:pt>
                    </c:numCache>
                  </c:numRef>
                </c:val>
                <c:extLst xmlns:c15="http://schemas.microsoft.com/office/drawing/2012/chart">
                  <c:ext xmlns:c16="http://schemas.microsoft.com/office/drawing/2014/chart" uri="{C3380CC4-5D6E-409C-BE32-E72D297353CC}">
                    <c16:uniqueId val="{00000E6A-3CCB-476F-95B8-640E14A88A15}"/>
                  </c:ext>
                </c:extLst>
              </c15:ser>
            </c15:filteredPieSeries>
            <c15:filteredPieSeries>
              <c15:ser>
                <c:idx val="5"/>
                <c:order val="5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'Données initiales'!#REF!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6C-3CCB-476F-95B8-640E14A88A15}"/>
                    </c:ext>
                  </c:extLst>
                </c:dPt>
                <c:dPt>
                  <c:idx val="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6E-3CCB-476F-95B8-640E14A88A15}"/>
                    </c:ext>
                  </c:extLst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70-3CCB-476F-95B8-640E14A88A15}"/>
                    </c:ext>
                  </c:extLst>
                </c:dPt>
                <c:dPt>
                  <c:idx val="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72-3CCB-476F-95B8-640E14A88A15}"/>
                    </c:ext>
                  </c:extLst>
                </c:dPt>
                <c:dPt>
                  <c:idx val="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74-3CCB-476F-95B8-640E14A88A15}"/>
                    </c:ext>
                  </c:extLst>
                </c:dPt>
                <c:dPt>
                  <c:idx val="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76-3CCB-476F-95B8-640E14A88A15}"/>
                    </c:ext>
                  </c:extLst>
                </c:dPt>
                <c:dPt>
                  <c:idx val="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78-3CCB-476F-95B8-640E14A88A15}"/>
                    </c:ext>
                  </c:extLst>
                </c:dPt>
                <c:dPt>
                  <c:idx val="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7A-3CCB-476F-95B8-640E14A88A15}"/>
                    </c:ext>
                  </c:extLst>
                </c:dPt>
                <c:dPt>
                  <c:idx val="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7C-3CCB-476F-95B8-640E14A88A15}"/>
                    </c:ext>
                  </c:extLst>
                </c:dPt>
                <c:dPt>
                  <c:idx val="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7E-3CCB-476F-95B8-640E14A88A15}"/>
                    </c:ext>
                  </c:extLst>
                </c:dPt>
                <c:dPt>
                  <c:idx val="1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80-3CCB-476F-95B8-640E14A88A15}"/>
                    </c:ext>
                  </c:extLst>
                </c:dPt>
                <c:dPt>
                  <c:idx val="1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82-3CCB-476F-95B8-640E14A88A15}"/>
                    </c:ext>
                  </c:extLst>
                </c:dPt>
                <c:dPt>
                  <c:idx val="1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84-3CCB-476F-95B8-640E14A88A15}"/>
                    </c:ext>
                  </c:extLst>
                </c:dPt>
                <c:dPt>
                  <c:idx val="1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86-3CCB-476F-95B8-640E14A88A15}"/>
                    </c:ext>
                  </c:extLst>
                </c:dPt>
                <c:dPt>
                  <c:idx val="1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88-3CCB-476F-95B8-640E14A88A15}"/>
                    </c:ext>
                  </c:extLst>
                </c:dPt>
                <c:dPt>
                  <c:idx val="1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8A-3CCB-476F-95B8-640E14A88A15}"/>
                    </c:ext>
                  </c:extLst>
                </c:dPt>
                <c:dPt>
                  <c:idx val="1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8C-3CCB-476F-95B8-640E14A88A15}"/>
                    </c:ext>
                  </c:extLst>
                </c:dPt>
                <c:dPt>
                  <c:idx val="1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8E-3CCB-476F-95B8-640E14A88A15}"/>
                    </c:ext>
                  </c:extLst>
                </c:dPt>
                <c:dPt>
                  <c:idx val="1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90-3CCB-476F-95B8-640E14A88A15}"/>
                    </c:ext>
                  </c:extLst>
                </c:dPt>
                <c:dPt>
                  <c:idx val="1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92-3CCB-476F-95B8-640E14A88A15}"/>
                    </c:ext>
                  </c:extLst>
                </c:dPt>
                <c:dPt>
                  <c:idx val="2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94-3CCB-476F-95B8-640E14A88A15}"/>
                    </c:ext>
                  </c:extLst>
                </c:dPt>
                <c:dPt>
                  <c:idx val="2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96-3CCB-476F-95B8-640E14A88A15}"/>
                    </c:ext>
                  </c:extLst>
                </c:dPt>
                <c:dPt>
                  <c:idx val="2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98-3CCB-476F-95B8-640E14A88A15}"/>
                    </c:ext>
                  </c:extLst>
                </c:dPt>
                <c:dPt>
                  <c:idx val="2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9A-3CCB-476F-95B8-640E14A88A15}"/>
                    </c:ext>
                  </c:extLst>
                </c:dPt>
                <c:dPt>
                  <c:idx val="2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9C-3CCB-476F-95B8-640E14A88A15}"/>
                    </c:ext>
                  </c:extLst>
                </c:dPt>
                <c:dPt>
                  <c:idx val="2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9E-3CCB-476F-95B8-640E14A88A15}"/>
                    </c:ext>
                  </c:extLst>
                </c:dPt>
                <c:dPt>
                  <c:idx val="2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A0-3CCB-476F-95B8-640E14A88A15}"/>
                    </c:ext>
                  </c:extLst>
                </c:dPt>
                <c:dPt>
                  <c:idx val="2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A2-3CCB-476F-95B8-640E14A88A15}"/>
                    </c:ext>
                  </c:extLst>
                </c:dPt>
                <c:dPt>
                  <c:idx val="2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A4-3CCB-476F-95B8-640E14A88A15}"/>
                    </c:ext>
                  </c:extLst>
                </c:dPt>
                <c:dPt>
                  <c:idx val="2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A6-3CCB-476F-95B8-640E14A88A15}"/>
                    </c:ext>
                  </c:extLst>
                </c:dPt>
                <c:dPt>
                  <c:idx val="3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A8-3CCB-476F-95B8-640E14A88A15}"/>
                    </c:ext>
                  </c:extLst>
                </c:dPt>
                <c:dPt>
                  <c:idx val="3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AA-3CCB-476F-95B8-640E14A88A15}"/>
                    </c:ext>
                  </c:extLst>
                </c:dPt>
                <c:dPt>
                  <c:idx val="3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AC-3CCB-476F-95B8-640E14A88A15}"/>
                    </c:ext>
                  </c:extLst>
                </c:dPt>
                <c:dPt>
                  <c:idx val="3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AE-3CCB-476F-95B8-640E14A88A15}"/>
                    </c:ext>
                  </c:extLst>
                </c:dPt>
                <c:dPt>
                  <c:idx val="3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B0-3CCB-476F-95B8-640E14A88A15}"/>
                    </c:ext>
                  </c:extLst>
                </c:dPt>
                <c:dPt>
                  <c:idx val="3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B2-3CCB-476F-95B8-640E14A88A15}"/>
                    </c:ext>
                  </c:extLst>
                </c:dPt>
                <c:dPt>
                  <c:idx val="3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B4-3CCB-476F-95B8-640E14A88A15}"/>
                    </c:ext>
                  </c:extLst>
                </c:dPt>
                <c:dPt>
                  <c:idx val="3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B6-3CCB-476F-95B8-640E14A88A15}"/>
                    </c:ext>
                  </c:extLst>
                </c:dPt>
                <c:dPt>
                  <c:idx val="3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B8-3CCB-476F-95B8-640E14A88A15}"/>
                    </c:ext>
                  </c:extLst>
                </c:dPt>
                <c:dPt>
                  <c:idx val="3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BA-3CCB-476F-95B8-640E14A88A15}"/>
                    </c:ext>
                  </c:extLst>
                </c:dPt>
                <c:dPt>
                  <c:idx val="4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BC-3CCB-476F-95B8-640E14A88A15}"/>
                    </c:ext>
                  </c:extLst>
                </c:dPt>
                <c:dPt>
                  <c:idx val="4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BE-3CCB-476F-95B8-640E14A88A15}"/>
                    </c:ext>
                  </c:extLst>
                </c:dPt>
                <c:dPt>
                  <c:idx val="4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C0-3CCB-476F-95B8-640E14A88A15}"/>
                    </c:ext>
                  </c:extLst>
                </c:dPt>
                <c:dPt>
                  <c:idx val="4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C2-3CCB-476F-95B8-640E14A88A15}"/>
                    </c:ext>
                  </c:extLst>
                </c:dPt>
                <c:dPt>
                  <c:idx val="4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C4-3CCB-476F-95B8-640E14A88A15}"/>
                    </c:ext>
                  </c:extLst>
                </c:dPt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 cap="flat" cmpd="sng" algn="ctr">
                        <a:solidFill>
                          <a:schemeClr val="tx1">
                            <a:lumMod val="35000"/>
                            <a:lumOff val="65000"/>
                          </a:schemeClr>
                        </a:solidFill>
                        <a:round/>
                      </a:ln>
                      <a:effectLst/>
                    </c:spPr>
                  </c:leaderLines>
                  <c:extLst xmlns:c15="http://schemas.microsoft.com/office/drawing/2012/chart">
                    <c:ext xmlns:c15="http://schemas.microsoft.com/office/drawing/2012/chart" uri="{CE6537A1-D6FC-4f65-9D91-7224C49458BB}"/>
                  </c:extLst>
                </c:dLbls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('Données '!$C$199,'Données '!$E$199,'Données '!$G$199,'Données '!$I$199,'Données '!$K$199,'Données '!$M$199,'Données '!$O$199)</c15:sqref>
                        </c15:formulaRef>
                      </c:ext>
                    </c:extLst>
                    <c:strCache>
                      <c:ptCount val="7"/>
                      <c:pt idx="0">
                        <c:v>ESQ ==&gt; APD</c:v>
                      </c:pt>
                      <c:pt idx="1">
                        <c:v>Fin études/AO</c:v>
                      </c:pt>
                      <c:pt idx="2">
                        <c:v>OS</c:v>
                      </c:pt>
                      <c:pt idx="3">
                        <c:v>Travaux</c:v>
                      </c:pt>
                      <c:pt idx="4">
                        <c:v>GPA</c:v>
                      </c:pt>
                      <c:pt idx="5">
                        <c:v>Clôture défisc</c:v>
                      </c:pt>
                      <c:pt idx="6">
                        <c:v>STOP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'Données initiales'!#REF!</c15:sqref>
                        </c15:formulaRef>
                      </c:ext>
                    </c:extLst>
                    <c:numCache>
                      <c:formatCode>General</c:formatCode>
                      <c:ptCount val="1"/>
                      <c:pt idx="0">
                        <c:v>1</c:v>
                      </c:pt>
                    </c:numCache>
                  </c:numRef>
                </c:val>
                <c:extLst xmlns:c15="http://schemas.microsoft.com/office/drawing/2012/chart">
                  <c:ext xmlns:c16="http://schemas.microsoft.com/office/drawing/2014/chart" uri="{C3380CC4-5D6E-409C-BE32-E72D297353CC}">
                    <c16:uniqueId val="{00000EC5-3CCB-476F-95B8-640E14A88A15}"/>
                  </c:ext>
                </c:extLst>
              </c15:ser>
            </c15:filteredPieSeries>
            <c15:filteredPieSeries>
              <c15:ser>
                <c:idx val="6"/>
                <c:order val="6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'Données '!$B$205</c15:sqref>
                        </c15:formulaRef>
                      </c:ext>
                    </c:extLst>
                    <c:strCache>
                      <c:ptCount val="1"/>
                      <c:pt idx="0">
                        <c:v>SRI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C7-3CCB-476F-95B8-640E14A88A15}"/>
                    </c:ext>
                  </c:extLst>
                </c:dPt>
                <c:dPt>
                  <c:idx val="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C9-3CCB-476F-95B8-640E14A88A15}"/>
                    </c:ext>
                  </c:extLst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CB-3CCB-476F-95B8-640E14A88A15}"/>
                    </c:ext>
                  </c:extLst>
                </c:dPt>
                <c:dPt>
                  <c:idx val="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CD-3CCB-476F-95B8-640E14A88A15}"/>
                    </c:ext>
                  </c:extLst>
                </c:dPt>
                <c:dPt>
                  <c:idx val="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CF-3CCB-476F-95B8-640E14A88A15}"/>
                    </c:ext>
                  </c:extLst>
                </c:dPt>
                <c:dPt>
                  <c:idx val="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D1-3CCB-476F-95B8-640E14A88A15}"/>
                    </c:ext>
                  </c:extLst>
                </c:dPt>
                <c:dPt>
                  <c:idx val="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D3-3CCB-476F-95B8-640E14A88A15}"/>
                    </c:ext>
                  </c:extLst>
                </c:dPt>
                <c:dPt>
                  <c:idx val="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D5-3CCB-476F-95B8-640E14A88A15}"/>
                    </c:ext>
                  </c:extLst>
                </c:dPt>
                <c:dPt>
                  <c:idx val="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D7-3CCB-476F-95B8-640E14A88A15}"/>
                    </c:ext>
                  </c:extLst>
                </c:dPt>
                <c:dPt>
                  <c:idx val="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D9-3CCB-476F-95B8-640E14A88A15}"/>
                    </c:ext>
                  </c:extLst>
                </c:dPt>
                <c:dPt>
                  <c:idx val="1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DB-3CCB-476F-95B8-640E14A88A15}"/>
                    </c:ext>
                  </c:extLst>
                </c:dPt>
                <c:dPt>
                  <c:idx val="1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DD-3CCB-476F-95B8-640E14A88A15}"/>
                    </c:ext>
                  </c:extLst>
                </c:dPt>
                <c:dPt>
                  <c:idx val="1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DF-3CCB-476F-95B8-640E14A88A15}"/>
                    </c:ext>
                  </c:extLst>
                </c:dPt>
                <c:dPt>
                  <c:idx val="1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E1-3CCB-476F-95B8-640E14A88A15}"/>
                    </c:ext>
                  </c:extLst>
                </c:dPt>
                <c:dPt>
                  <c:idx val="1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E3-3CCB-476F-95B8-640E14A88A15}"/>
                    </c:ext>
                  </c:extLst>
                </c:dPt>
                <c:dPt>
                  <c:idx val="1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E5-3CCB-476F-95B8-640E14A88A15}"/>
                    </c:ext>
                  </c:extLst>
                </c:dPt>
                <c:dPt>
                  <c:idx val="1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E7-3CCB-476F-95B8-640E14A88A15}"/>
                    </c:ext>
                  </c:extLst>
                </c:dPt>
                <c:dPt>
                  <c:idx val="1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E9-3CCB-476F-95B8-640E14A88A15}"/>
                    </c:ext>
                  </c:extLst>
                </c:dPt>
                <c:dPt>
                  <c:idx val="1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EB-3CCB-476F-95B8-640E14A88A15}"/>
                    </c:ext>
                  </c:extLst>
                </c:dPt>
                <c:dPt>
                  <c:idx val="1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ED-3CCB-476F-95B8-640E14A88A15}"/>
                    </c:ext>
                  </c:extLst>
                </c:dPt>
                <c:dPt>
                  <c:idx val="2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EF-3CCB-476F-95B8-640E14A88A15}"/>
                    </c:ext>
                  </c:extLst>
                </c:dPt>
                <c:dPt>
                  <c:idx val="2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F1-3CCB-476F-95B8-640E14A88A15}"/>
                    </c:ext>
                  </c:extLst>
                </c:dPt>
                <c:dPt>
                  <c:idx val="2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F3-3CCB-476F-95B8-640E14A88A15}"/>
                    </c:ext>
                  </c:extLst>
                </c:dPt>
                <c:dPt>
                  <c:idx val="2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F5-3CCB-476F-95B8-640E14A88A15}"/>
                    </c:ext>
                  </c:extLst>
                </c:dPt>
                <c:dPt>
                  <c:idx val="2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F7-3CCB-476F-95B8-640E14A88A15}"/>
                    </c:ext>
                  </c:extLst>
                </c:dPt>
                <c:dPt>
                  <c:idx val="2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F9-3CCB-476F-95B8-640E14A88A15}"/>
                    </c:ext>
                  </c:extLst>
                </c:dPt>
                <c:dPt>
                  <c:idx val="2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FB-3CCB-476F-95B8-640E14A88A15}"/>
                    </c:ext>
                  </c:extLst>
                </c:dPt>
                <c:dPt>
                  <c:idx val="2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FD-3CCB-476F-95B8-640E14A88A15}"/>
                    </c:ext>
                  </c:extLst>
                </c:dPt>
                <c:dPt>
                  <c:idx val="2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FF-3CCB-476F-95B8-640E14A88A15}"/>
                    </c:ext>
                  </c:extLst>
                </c:dPt>
                <c:dPt>
                  <c:idx val="2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01-3CCB-476F-95B8-640E14A88A15}"/>
                    </c:ext>
                  </c:extLst>
                </c:dPt>
                <c:dPt>
                  <c:idx val="3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03-3CCB-476F-95B8-640E14A88A15}"/>
                    </c:ext>
                  </c:extLst>
                </c:dPt>
                <c:dPt>
                  <c:idx val="3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05-3CCB-476F-95B8-640E14A88A15}"/>
                    </c:ext>
                  </c:extLst>
                </c:dPt>
                <c:dPt>
                  <c:idx val="3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07-3CCB-476F-95B8-640E14A88A15}"/>
                    </c:ext>
                  </c:extLst>
                </c:dPt>
                <c:dPt>
                  <c:idx val="3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09-3CCB-476F-95B8-640E14A88A15}"/>
                    </c:ext>
                  </c:extLst>
                </c:dPt>
                <c:dPt>
                  <c:idx val="3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0B-3CCB-476F-95B8-640E14A88A15}"/>
                    </c:ext>
                  </c:extLst>
                </c:dPt>
                <c:dPt>
                  <c:idx val="3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0D-3CCB-476F-95B8-640E14A88A15}"/>
                    </c:ext>
                  </c:extLst>
                </c:dPt>
                <c:dPt>
                  <c:idx val="3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0F-3CCB-476F-95B8-640E14A88A15}"/>
                    </c:ext>
                  </c:extLst>
                </c:dPt>
                <c:dPt>
                  <c:idx val="3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11-3CCB-476F-95B8-640E14A88A15}"/>
                    </c:ext>
                  </c:extLst>
                </c:dPt>
                <c:dPt>
                  <c:idx val="3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13-3CCB-476F-95B8-640E14A88A15}"/>
                    </c:ext>
                  </c:extLst>
                </c:dPt>
                <c:dPt>
                  <c:idx val="3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15-3CCB-476F-95B8-640E14A88A15}"/>
                    </c:ext>
                  </c:extLst>
                </c:dPt>
                <c:dPt>
                  <c:idx val="4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17-3CCB-476F-95B8-640E14A88A15}"/>
                    </c:ext>
                  </c:extLst>
                </c:dPt>
                <c:dPt>
                  <c:idx val="4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19-3CCB-476F-95B8-640E14A88A15}"/>
                    </c:ext>
                  </c:extLst>
                </c:dPt>
                <c:dPt>
                  <c:idx val="4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1B-3CCB-476F-95B8-640E14A88A15}"/>
                    </c:ext>
                  </c:extLst>
                </c:dPt>
                <c:dPt>
                  <c:idx val="4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1D-3CCB-476F-95B8-640E14A88A15}"/>
                    </c:ext>
                  </c:extLst>
                </c:dPt>
                <c:dPt>
                  <c:idx val="4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1F-3CCB-476F-95B8-640E14A88A15}"/>
                    </c:ext>
                  </c:extLst>
                </c:dPt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 cap="flat" cmpd="sng" algn="ctr">
                        <a:solidFill>
                          <a:schemeClr val="tx1">
                            <a:lumMod val="35000"/>
                            <a:lumOff val="65000"/>
                          </a:schemeClr>
                        </a:solidFill>
                        <a:round/>
                      </a:ln>
                      <a:effectLst/>
                    </c:spPr>
                  </c:leaderLines>
                  <c:extLst xmlns:c15="http://schemas.microsoft.com/office/drawing/2012/chart">
                    <c:ext xmlns:c15="http://schemas.microsoft.com/office/drawing/2012/chart" uri="{CE6537A1-D6FC-4f65-9D91-7224C49458BB}"/>
                  </c:extLst>
                </c:dLbls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('Données '!$C$199,'Données '!$E$199,'Données '!$G$199,'Données '!$I$199,'Données '!$K$199,'Données '!$M$199,'Données '!$O$199)</c15:sqref>
                        </c15:formulaRef>
                      </c:ext>
                    </c:extLst>
                    <c:strCache>
                      <c:ptCount val="7"/>
                      <c:pt idx="0">
                        <c:v>ESQ ==&gt; APD</c:v>
                      </c:pt>
                      <c:pt idx="1">
                        <c:v>Fin études/AO</c:v>
                      </c:pt>
                      <c:pt idx="2">
                        <c:v>OS</c:v>
                      </c:pt>
                      <c:pt idx="3">
                        <c:v>Travaux</c:v>
                      </c:pt>
                      <c:pt idx="4">
                        <c:v>GPA</c:v>
                      </c:pt>
                      <c:pt idx="5">
                        <c:v>Clôture défisc</c:v>
                      </c:pt>
                      <c:pt idx="6">
                        <c:v>STOP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('Données '!$C$205,'Données '!$E$205,'Données '!$G$205,'Données '!$I$205,'Données '!$K$205,'Données '!$M$205,'Données '!$O$205)</c15:sqref>
                        </c15:formulaRef>
                      </c:ext>
                    </c:extLst>
                    <c:numCache>
                      <c:formatCode>General</c:formatCode>
                      <c:ptCount val="7"/>
                      <c:pt idx="0">
                        <c:v>1</c:v>
                      </c:pt>
                      <c:pt idx="1">
                        <c:v>0</c:v>
                      </c:pt>
                      <c:pt idx="2">
                        <c:v>0</c:v>
                      </c:pt>
                      <c:pt idx="3">
                        <c:v>2</c:v>
                      </c:pt>
                      <c:pt idx="4">
                        <c:v>0</c:v>
                      </c:pt>
                      <c:pt idx="5">
                        <c:v>1</c:v>
                      </c:pt>
                      <c:pt idx="6">
                        <c:v>0</c:v>
                      </c:pt>
                    </c:numCache>
                  </c:numRef>
                </c:val>
                <c:extLst xmlns:c15="http://schemas.microsoft.com/office/drawing/2012/chart">
                  <c:ext xmlns:c16="http://schemas.microsoft.com/office/drawing/2014/chart" uri="{C3380CC4-5D6E-409C-BE32-E72D297353CC}">
                    <c16:uniqueId val="{00000F20-3CCB-476F-95B8-640E14A88A15}"/>
                  </c:ext>
                </c:extLst>
              </c15:ser>
            </c15:filteredPieSeries>
          </c:ext>
        </c:extLst>
      </c:pieChart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66870628263447418"/>
          <c:y val="0.23119044358587379"/>
          <c:w val="0.33129363515343879"/>
          <c:h val="0.58084352459433986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0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5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6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718703</xdr:colOff>
      <xdr:row>208</xdr:row>
      <xdr:rowOff>178377</xdr:rowOff>
    </xdr:from>
    <xdr:to>
      <xdr:col>7</xdr:col>
      <xdr:colOff>95249</xdr:colOff>
      <xdr:row>223</xdr:row>
      <xdr:rowOff>64077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7</xdr:col>
      <xdr:colOff>331593</xdr:colOff>
      <xdr:row>209</xdr:row>
      <xdr:rowOff>6</xdr:rowOff>
    </xdr:from>
    <xdr:to>
      <xdr:col>10</xdr:col>
      <xdr:colOff>1169996</xdr:colOff>
      <xdr:row>223</xdr:row>
      <xdr:rowOff>100655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10</xdr:col>
      <xdr:colOff>1463385</xdr:colOff>
      <xdr:row>209</xdr:row>
      <xdr:rowOff>22512</xdr:rowOff>
    </xdr:from>
    <xdr:to>
      <xdr:col>14</xdr:col>
      <xdr:colOff>320385</xdr:colOff>
      <xdr:row>223</xdr:row>
      <xdr:rowOff>98712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10</xdr:col>
      <xdr:colOff>485773</xdr:colOff>
      <xdr:row>224</xdr:row>
      <xdr:rowOff>152399</xdr:rowOff>
    </xdr:from>
    <xdr:to>
      <xdr:col>15</xdr:col>
      <xdr:colOff>489856</xdr:colOff>
      <xdr:row>239</xdr:row>
      <xdr:rowOff>149678</xdr:rowOff>
    </xdr:to>
    <xdr:graphicFrame macro="">
      <xdr:nvGraphicFramePr>
        <xdr:cNvPr id="7" name="Graphique 6">
          <a:extLst>
            <a:ext uri="{FF2B5EF4-FFF2-40B4-BE49-F238E27FC236}">
              <a16:creationId xmlns:a16="http://schemas.microsoft.com/office/drawing/2014/main" id="{00000000-0008-0000-0200-000007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1</xdr:col>
      <xdr:colOff>925286</xdr:colOff>
      <xdr:row>225</xdr:row>
      <xdr:rowOff>54429</xdr:rowOff>
    </xdr:from>
    <xdr:to>
      <xdr:col>6</xdr:col>
      <xdr:colOff>465568</xdr:colOff>
      <xdr:row>239</xdr:row>
      <xdr:rowOff>155078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00000000-0008-0000-0200-000006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6</xdr:col>
      <xdr:colOff>1115786</xdr:colOff>
      <xdr:row>225</xdr:row>
      <xdr:rowOff>81644</xdr:rowOff>
    </xdr:from>
    <xdr:to>
      <xdr:col>10</xdr:col>
      <xdr:colOff>138996</xdr:colOff>
      <xdr:row>239</xdr:row>
      <xdr:rowOff>182293</xdr:rowOff>
    </xdr:to>
    <xdr:graphicFrame macro="">
      <xdr:nvGraphicFramePr>
        <xdr:cNvPr id="8" name="Graphique 7">
          <a:extLst>
            <a:ext uri="{FF2B5EF4-FFF2-40B4-BE49-F238E27FC236}">
              <a16:creationId xmlns:a16="http://schemas.microsoft.com/office/drawing/2014/main" id="{00000000-0008-0000-0200-000008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s01\Organisation\4%20-%20DOP\42%20-%20P&#244;le%20Construction%20Immobili&#232;re\P&#244;le%20Immobilier\Financement,%20PRD,%20Gest&#176;%20OP\Suivi%20appels%20de%20fonds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O:\4%20-%20DOP\42%20-%20P&#244;le%20Construction%20Immobili&#232;re\P&#244;le%20Immobilier\Financement,%20PRD,%20Gest&#176;%20OP\Suivi%20appels%20de%20fond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YNTHESE"/>
      <sheetName val="GLOBAL OPERATION"/>
      <sheetName val="CONVENTIONS SIGNEES "/>
      <sheetName val="FRAFU DEAL"/>
      <sheetName val="LBU DEAL"/>
      <sheetName val="LBU REHAB"/>
      <sheetName val="RECTORAT"/>
      <sheetName val="ST LEU"/>
      <sheetName val="CAF"/>
      <sheetName val="REGION"/>
      <sheetName val="DIECCTE"/>
      <sheetName val="FEDER"/>
      <sheetName val="TCO"/>
      <sheetName val="EDF"/>
      <sheetName val="ST JOSEPH"/>
      <sheetName val="OFFICE DE L'EAU"/>
      <sheetName val="ADEME"/>
      <sheetName val="ETANG-SALE"/>
      <sheetName val="PETITE ILE"/>
      <sheetName val="CILGERE"/>
      <sheetName val="cilgère"/>
    </sheetNames>
    <sheetDataSet>
      <sheetData sheetId="0"/>
      <sheetData sheetId="1">
        <row r="2">
          <cell r="AG2"/>
        </row>
        <row r="32">
          <cell r="AG32">
            <v>893590.37</v>
          </cell>
        </row>
        <row r="36">
          <cell r="AG36">
            <v>343011.52</v>
          </cell>
        </row>
        <row r="37">
          <cell r="AG37">
            <v>316226.06</v>
          </cell>
        </row>
        <row r="41">
          <cell r="AG41">
            <v>0</v>
          </cell>
        </row>
        <row r="44">
          <cell r="AG44">
            <v>2949865</v>
          </cell>
        </row>
        <row r="45">
          <cell r="AG45">
            <v>553480.56000000006</v>
          </cell>
        </row>
        <row r="46">
          <cell r="AG46">
            <v>30000</v>
          </cell>
        </row>
        <row r="47">
          <cell r="AG47">
            <v>1575</v>
          </cell>
        </row>
        <row r="51">
          <cell r="AG51">
            <v>1145828.3699999999</v>
          </cell>
        </row>
        <row r="53">
          <cell r="AG53">
            <v>822763.41999999993</v>
          </cell>
        </row>
        <row r="55">
          <cell r="AG55">
            <v>677762.17999999993</v>
          </cell>
        </row>
        <row r="57">
          <cell r="AG57">
            <v>880000</v>
          </cell>
        </row>
        <row r="60">
          <cell r="AG60">
            <v>101100</v>
          </cell>
        </row>
        <row r="62">
          <cell r="AG62">
            <v>6860</v>
          </cell>
        </row>
        <row r="63">
          <cell r="AG63">
            <v>0</v>
          </cell>
        </row>
        <row r="64">
          <cell r="AG64">
            <v>1400282.29</v>
          </cell>
        </row>
        <row r="67">
          <cell r="AG67">
            <v>308750.63</v>
          </cell>
        </row>
        <row r="68">
          <cell r="AG68">
            <v>27200</v>
          </cell>
        </row>
        <row r="69">
          <cell r="AG69">
            <v>97825.35</v>
          </cell>
        </row>
        <row r="70">
          <cell r="AG70">
            <v>28778.48</v>
          </cell>
        </row>
        <row r="73">
          <cell r="AG73">
            <v>1735795.5699999998</v>
          </cell>
        </row>
        <row r="74">
          <cell r="AG74">
            <v>8804812.7300000004</v>
          </cell>
        </row>
        <row r="76">
          <cell r="AG76">
            <v>689078.94</v>
          </cell>
        </row>
        <row r="77">
          <cell r="AG77">
            <v>451296.94000000006</v>
          </cell>
        </row>
        <row r="78">
          <cell r="AG78">
            <v>0</v>
          </cell>
        </row>
        <row r="79">
          <cell r="AG79">
            <v>2979650.37</v>
          </cell>
        </row>
        <row r="85">
          <cell r="AG85">
            <v>493780</v>
          </cell>
        </row>
        <row r="86">
          <cell r="AG86">
            <v>0</v>
          </cell>
        </row>
        <row r="87">
          <cell r="AG87">
            <v>0</v>
          </cell>
        </row>
        <row r="89">
          <cell r="AG89">
            <v>0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YNTHESE"/>
      <sheetName val="GLOBAL OPERATION"/>
      <sheetName val="CONVENTIONS SIGNEES "/>
      <sheetName val="FRAFU DEAL"/>
      <sheetName val="LBU DEAL"/>
      <sheetName val="LBU REHAB"/>
      <sheetName val="RECTORAT"/>
      <sheetName val="ST LEU"/>
      <sheetName val="CAF"/>
      <sheetName val="REGION"/>
      <sheetName val="DIECCTE"/>
      <sheetName val="FEDER"/>
      <sheetName val="TCO"/>
      <sheetName val="EDF"/>
      <sheetName val="ST JOSEPH"/>
      <sheetName val="OFFICE DE L'EAU"/>
      <sheetName val="ADEME"/>
      <sheetName val="ETANG-SALE"/>
      <sheetName val="PETITE ILE"/>
      <sheetName val="CILGERE"/>
      <sheetName val="cilgère"/>
    </sheetNames>
    <sheetDataSet>
      <sheetData sheetId="0"/>
      <sheetData sheetId="1">
        <row r="55">
          <cell r="AH55">
            <v>871641.46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Nathalie BLANDINO" refreshedDate="43950.631509027779" createdVersion="6" refreshedVersion="6" minRefreshableVersion="3" recordCount="152" xr:uid="{00000000-000A-0000-FFFF-FFFF02000000}">
  <cacheSource type="worksheet">
    <worksheetSource ref="A1:HX153" sheet="Données "/>
  </cacheSource>
  <cacheFields count="234">
    <cacheField name="OPERATION" numFmtId="0">
      <sharedItems containsBlank="1"/>
    </cacheField>
    <cacheField name="COMMUNE" numFmtId="0">
      <sharedItems containsBlank="1" count="15">
        <s v="Petite-Ile"/>
        <s v="St Leu"/>
        <s v="Tampon"/>
        <s v="St Pierre"/>
        <s v="St Joseph"/>
        <s v="St Louis"/>
        <s v="St Paul"/>
        <s v="Etang-Salé"/>
        <s v="St Philippe"/>
        <s v="Entre-Deux"/>
        <s v="Trois Bassins"/>
        <s v="Avirons"/>
        <s v="Cilaos"/>
        <s v="La Possession"/>
        <m/>
      </sharedItems>
    </cacheField>
    <cacheField name="BASSIN" numFmtId="0">
      <sharedItems containsBlank="1" count="4">
        <s v="CIVIS"/>
        <s v="TCO"/>
        <s v="CA SUD"/>
        <m/>
      </sharedItems>
    </cacheField>
    <cacheField name="Prog" numFmtId="0">
      <sharedItems containsBlank="1" containsMixedTypes="1" containsNumber="1" containsInteger="1" minValue="2010" maxValue="2024" count="16">
        <n v="2010"/>
        <n v="2011"/>
        <n v="2017"/>
        <n v="2015"/>
        <n v="2012"/>
        <n v="2013"/>
        <n v="2016"/>
        <n v="2014"/>
        <n v="2018"/>
        <n v="2022"/>
        <n v="2024"/>
        <s v="non inscrit"/>
        <n v="2020"/>
        <n v="2019"/>
        <n v="2021"/>
        <m/>
      </sharedItems>
    </cacheField>
    <cacheField name="CODE" numFmtId="0">
      <sharedItems containsBlank="1"/>
    </cacheField>
    <cacheField name="RO" numFmtId="0">
      <sharedItems containsBlank="1"/>
    </cacheField>
    <cacheField name="ASSISTANTE" numFmtId="0">
      <sharedItems containsBlank="1"/>
    </cacheField>
    <cacheField name="AVANCEMENT" numFmtId="0">
      <sharedItems containsBlank="1" count="16">
        <s v="patrimoine"/>
        <s v="Tvx"/>
        <s v="GPA"/>
        <s v="cloture"/>
        <s v="Faisa"/>
        <m/>
        <s v="stand by"/>
        <s v="PC"/>
        <s v="AO"/>
        <s v="ESQ"/>
        <s v="APS"/>
        <s v="DIAG/ESQ"/>
        <s v="DCE"/>
        <s v="APD"/>
        <s v="Etude urbaine"/>
        <s v="Prosp"/>
      </sharedItems>
    </cacheField>
    <cacheField name="CONTRÔLE DEAL" numFmtId="0">
      <sharedItems containsBlank="1"/>
    </cacheField>
    <cacheField name="PARCELLE" numFmtId="0">
      <sharedItems containsBlank="1"/>
    </cacheField>
    <cacheField name="FONCIER" numFmtId="0">
      <sharedItems containsBlank="1" longText="1"/>
    </cacheField>
    <cacheField name="Propriétaire" numFmtId="0">
      <sharedItems containsBlank="1"/>
    </cacheField>
    <cacheField name="Notaire Terrain" numFmtId="0">
      <sharedItems containsBlank="1"/>
    </cacheField>
    <cacheField name="Signature Acte" numFmtId="0">
      <sharedItems containsDate="1" containsBlank="1" containsMixedTypes="1" minDate="1993-01-25T00:00:00" maxDate="2013-12-20T00:00:00"/>
    </cacheField>
    <cacheField name="S TERRAIN" numFmtId="0">
      <sharedItems containsString="0" containsBlank="1" containsNumber="1" minValue="606" maxValue="52241"/>
    </cacheField>
    <cacheField name="PRIX TERRAIN BRUT" numFmtId="0">
      <sharedItems containsString="0" containsBlank="1" containsNumber="1" minValue="1" maxValue="2460000"/>
    </cacheField>
    <cacheField name="PRIX TERRAIN AMENAGE" numFmtId="0">
      <sharedItems containsString="0" containsBlank="1" containsNumber="1" minValue="51520" maxValue="1500000"/>
    </cacheField>
    <cacheField name="PRIX BRUT / LGT " numFmtId="0">
      <sharedItems containsBlank="1" containsMixedTypes="1" containsNumber="1" minValue="0" maxValue="37856"/>
    </cacheField>
    <cacheField name="PRIX m² terrain brut" numFmtId="0">
      <sharedItems containsBlank="1" containsMixedTypes="1" containsNumber="1" minValue="0" maxValue="600"/>
    </cacheField>
    <cacheField name="PRIX m² terrain aménagé" numFmtId="0">
      <sharedItems containsBlank="1" containsMixedTypes="1" containsNumber="1" minValue="0" maxValue="600"/>
    </cacheField>
    <cacheField name="PRIX m² SF" numFmtId="0">
      <sharedItems containsBlank="1" containsMixedTypes="1" containsNumber="1" minValue="0" maxValue="668.46036865589338"/>
    </cacheField>
    <cacheField name="PRIX AMENAGE/ LGT" numFmtId="0">
      <sharedItems containsBlank="1" containsMixedTypes="1" containsNumber="1" minValue="0" maxValue="37856"/>
    </cacheField>
    <cacheField name="M² TERRAIN / LGT" numFmtId="0">
      <sharedItems containsBlank="1" containsMixedTypes="1" containsNumber="1" minValue="0" maxValue="6681.4"/>
    </cacheField>
    <cacheField name="S EMPRISE" numFmtId="0">
      <sharedItems containsString="0" containsBlank="1" containsNumber="1" minValue="300" maxValue="2205.9499999999998"/>
    </cacheField>
    <cacheField name="DENSITE lgt/ha" numFmtId="0">
      <sharedItems containsBlank="1" containsMixedTypes="1" containsNumber="1" minValue="1.4966923099949112" maxValue="575.70523891767414"/>
    </cacheField>
    <cacheField name="ZONAGE" numFmtId="0">
      <sharedItems containsBlank="1"/>
    </cacheField>
    <cacheField name="Altitude" numFmtId="0">
      <sharedItems containsString="0" containsBlank="1" containsNumber="1" containsInteger="1" minValue="10" maxValue="1300"/>
    </cacheField>
    <cacheField name="Pente" numFmtId="0">
      <sharedItems containsString="0" containsBlank="1" containsNumber="1" minValue="0" maxValue="0.3"/>
    </cacheField>
    <cacheField name="TYPE" numFmtId="0">
      <sharedItems containsBlank="1" count="5">
        <s v="LLTS"/>
        <s v="LLS"/>
        <s v="Rehab"/>
        <s v="PLS"/>
        <m/>
      </sharedItems>
    </cacheField>
    <cacheField name="N" numFmtId="0">
      <sharedItems containsString="0" containsBlank="1" containsNumber="1" containsInteger="1" minValue="4" maxValue="200"/>
    </cacheField>
    <cacheField name="N hors REHAB" numFmtId="0">
      <sharedItems containsString="0" containsBlank="1" containsNumber="1" containsInteger="1" minValue="0" maxValue="200"/>
    </cacheField>
    <cacheField name="LLS" numFmtId="0">
      <sharedItems containsString="0" containsBlank="1" containsNumber="1" containsInteger="1" minValue="4" maxValue="122"/>
    </cacheField>
    <cacheField name="LLTS" numFmtId="0">
      <sharedItems containsString="0" containsBlank="1" containsNumber="1" containsInteger="1" minValue="5" maxValue="150"/>
    </cacheField>
    <cacheField name="PLS" numFmtId="0">
      <sharedItems containsString="0" containsBlank="1" containsNumber="1" containsInteger="1" minValue="24" maxValue="200"/>
    </cacheField>
    <cacheField name="REHAB" numFmtId="0">
      <sharedItems containsString="0" containsBlank="1" containsNumber="1" containsInteger="1" minValue="6" maxValue="128"/>
    </cacheField>
    <cacheField name="SHAB y/c V" numFmtId="4">
      <sharedItems containsString="0" containsBlank="1" containsNumber="1" minValue="237.6" maxValue="9271.5300000000007"/>
    </cacheField>
    <cacheField name="SF priorisée" numFmtId="0">
      <sharedItems containsString="0" containsBlank="1" containsNumber="1" minValue="317.76" maxValue="10913.8"/>
    </cacheField>
    <cacheField name="SHAB / lgt" numFmtId="0">
      <sharedItems containsString="0" containsBlank="1" containsNumber="1" minValue="0" maxValue="98.493333333333325"/>
    </cacheField>
    <cacheField name="SF / lgt" numFmtId="0">
      <sharedItems containsString="0" containsBlank="1" containsNumber="1" minValue="0" maxValue="104.25703703703704"/>
    </cacheField>
    <cacheField name="Loyer m² SF affiché DEAL" numFmtId="0">
      <sharedItems containsString="0" containsBlank="1" containsNumber="1" minValue="4.87" maxValue="11.65"/>
    </cacheField>
    <cacheField name="Loyer m² SF pratiqué" numFmtId="0">
      <sharedItems containsString="0" containsBlank="1" containsNumber="1" minValue="4.82" maxValue="9.8699999999999992"/>
    </cacheField>
    <cacheField name="Loyer moyen / lgt" numFmtId="0">
      <sharedItems containsString="0" containsBlank="1" containsNumber="1" minValue="331.1" maxValue="868.81"/>
    </cacheField>
    <cacheField name="T1" numFmtId="0">
      <sharedItems containsString="0" containsBlank="1" containsNumber="1" minValue="0" maxValue="0.22857142857142856"/>
    </cacheField>
    <cacheField name="T2" numFmtId="0">
      <sharedItems containsString="0" containsBlank="1" containsNumber="1" minValue="0" maxValue="7"/>
    </cacheField>
    <cacheField name="T3" numFmtId="0">
      <sharedItems containsString="0" containsBlank="1" containsNumber="1" minValue="0" maxValue="8"/>
    </cacheField>
    <cacheField name="T4" numFmtId="0">
      <sharedItems containsString="0" containsBlank="1" containsNumber="1" minValue="0" maxValue="5"/>
    </cacheField>
    <cacheField name="T5" numFmtId="0">
      <sharedItems containsString="0" containsBlank="1" containsNumber="1" minValue="0" maxValue="1"/>
    </cacheField>
    <cacheField name="S espaces verts collectifs" numFmtId="0">
      <sharedItems containsBlank="1" containsMixedTypes="1" containsNumber="1" minValue="217.58" maxValue="12480"/>
    </cacheField>
    <cacheField name="S ANC" numFmtId="0">
      <sharedItems containsBlank="1" containsMixedTypes="1" containsNumber="1" minValue="0" maxValue="2000"/>
    </cacheField>
    <cacheField name="Emprise ANC" numFmtId="0">
      <sharedItems containsBlank="1" containsMixedTypes="1" containsNumber="1" minValue="0" maxValue="598"/>
    </cacheField>
    <cacheField name="N niveaux lgt y/c RDC" numFmtId="0">
      <sharedItems containsBlank="1" containsMixedTypes="1" containsNumber="1" minValue="1" maxValue="7"/>
    </cacheField>
    <cacheField name="Type Habitat" numFmtId="0">
      <sharedItems containsBlank="1"/>
    </cacheField>
    <cacheField name="Pkgs couverts" numFmtId="0">
      <sharedItems containsBlank="1"/>
    </cacheField>
    <cacheField name="Prix Achat TTC" numFmtId="0">
      <sharedItems containsString="0" containsBlank="1" containsNumber="1" minValue="646374.68000000005" maxValue="22322488.699999999"/>
    </cacheField>
    <cacheField name="Prix achat /m² SHAB" numFmtId="0">
      <sharedItems containsBlank="1" containsMixedTypes="1" containsNumber="1" minValue="1968.1916847553848" maxValue="2720.4321548821554"/>
    </cacheField>
    <cacheField name="Prix achat /m² SF" numFmtId="0">
      <sharedItems containsBlank="1" containsMixedTypes="1" containsNumber="1" minValue="0" maxValue="2348.6845847450177"/>
    </cacheField>
    <cacheField name="Prix achat / lgt" numFmtId="0">
      <sharedItems containsString="0" containsBlank="1" containsNumber="1" minValue="0" maxValue="194544.72333874999"/>
    </cacheField>
    <cacheField name="Archi conseil DEAL" numFmtId="0">
      <sharedItems containsDate="1" containsBlank="1" containsMixedTypes="1" minDate="2012-09-18T00:00:00" maxDate="2019-08-31T00:00:00"/>
    </cacheField>
    <cacheField name="CR" numFmtId="0">
      <sharedItems containsNonDate="0" containsString="0" containsBlank="1"/>
    </cacheField>
    <cacheField name="CA autorisation de pgr" numFmtId="0">
      <sharedItems containsDate="1" containsBlank="1" containsMixedTypes="1" minDate="2011-09-30T00:00:00" maxDate="2019-12-18T00:00:00"/>
    </cacheField>
    <cacheField name="CA autorisation d'emprunt" numFmtId="0">
      <sharedItems containsDate="1" containsBlank="1" containsMixedTypes="1" minDate="2018-07-27T00:00:00" maxDate="2019-09-06T00:00:00"/>
    </cacheField>
    <cacheField name="Demande LBU" numFmtId="0">
      <sharedItems containsNonDate="0" containsDate="1" containsString="0" containsBlank="1" minDate="2010-03-30T00:00:00" maxDate="2019-03-31T00:00:00"/>
    </cacheField>
    <cacheField name="Arrêté LBU" numFmtId="0">
      <sharedItems containsNonDate="0" containsDate="1" containsString="0" containsBlank="1" minDate="2010-11-09T00:00:00" maxDate="2019-11-20T00:00:00"/>
    </cacheField>
    <cacheField name="Transmission à DAF" numFmtId="0">
      <sharedItems containsNonDate="0" containsDate="1" containsString="0" containsBlank="1" minDate="2015-10-14T00:00:00" maxDate="2019-10-16T00:00:00"/>
    </cacheField>
    <cacheField name="Délai obtention LBU" numFmtId="0">
      <sharedItems containsString="0" containsBlank="1" containsNumber="1" minValue="0" maxValue="9.2666666666666675"/>
    </cacheField>
    <cacheField name="CREDIT D'IMPOT" numFmtId="0">
      <sharedItems containsBlank="1"/>
    </cacheField>
    <cacheField name="Dde édition prêt" numFmtId="0">
      <sharedItems containsNonDate="0" containsDate="1" containsString="0" containsBlank="1" minDate="2013-10-02T00:00:00" maxDate="2019-12-05T00:00:00"/>
    </cacheField>
    <cacheField name="Contrat de prêt" numFmtId="0">
      <sharedItems containsNonDate="0" containsDate="1" containsString="0" containsBlank="1" minDate="2012-12-13T00:00:00" maxDate="2020-02-04T00:00:00"/>
    </cacheField>
    <cacheField name="Délai obtention prêt" numFmtId="0">
      <sharedItems containsString="0" containsBlank="1" containsNumber="1" minValue="0" maxValue="9.9"/>
    </cacheField>
    <cacheField name="N°" numFmtId="0">
      <sharedItems containsString="0" containsBlank="1" containsNumber="1" containsInteger="1" minValue="52069" maxValue="106176"/>
    </cacheField>
    <cacheField name="Limite validité Ct prêt - Prise d'effet du contrat" numFmtId="0">
      <sharedItems containsDate="1" containsBlank="1" containsMixedTypes="1" minDate="1900-03-31T00:00:00" maxDate="2019-10-24T00:00:00"/>
    </cacheField>
    <cacheField name="Transmission contrat prêt DAF" numFmtId="0">
      <sharedItems containsDate="1" containsBlank="1" containsMixedTypes="1" minDate="2015-03-11T00:00:00" maxDate="2020-02-08T00:00:00"/>
    </cacheField>
    <cacheField name="Début préfinancement (1e jour du mois suivant la prise d'effet du contrat)" numFmtId="0">
      <sharedItems containsNonDate="0" containsDate="1" containsString="0" containsBlank="1" minDate="2013-02-02T00:00:00" maxDate="2019-11-02T00:00:00"/>
    </cacheField>
    <cacheField name="Fin préfinancement / 1e échéance de prêt (24 mois)" numFmtId="0">
      <sharedItems containsNonDate="0" containsDate="1" containsString="0" containsBlank="1" minDate="1901-12-31T00:00:00" maxDate="2021-11-02T00:00:00"/>
    </cacheField>
    <cacheField name="Montant échéance annuelle" numFmtId="0">
      <sharedItems containsString="0" containsBlank="1" containsNumber="1" minValue="20906" maxValue="338981"/>
    </cacheField>
    <cacheField name="PROBLEME" numFmtId="0">
      <sharedItems containsBlank="1"/>
    </cacheField>
    <cacheField name="Mois de loyers avant 1e échéance" numFmtId="0">
      <sharedItems containsString="0" containsBlank="1" containsNumber="1" minValue="-1546.5" maxValue="23.333333333333332"/>
    </cacheField>
    <cacheField name="Montant des loyers perçus avant 1e échéance" numFmtId="0">
      <sharedItems containsBlank="1" containsMixedTypes="1" containsNumber="1" minValue="0" maxValue="336248"/>
    </cacheField>
    <cacheField name="Loyers manquants" numFmtId="0">
      <sharedItems containsString="0" containsBlank="1" containsNumber="1" minValue="-336248" maxValue="338981"/>
    </cacheField>
    <cacheField name="Marché MOE notifié" numFmtId="0">
      <sharedItems containsNonDate="0" containsDate="1" containsString="0" containsBlank="1" minDate="2012-10-02T00:00:00" maxDate="2019-09-04T00:00:00"/>
    </cacheField>
    <cacheField name="OS ESQ - prévu" numFmtId="0">
      <sharedItems containsNonDate="0" containsDate="1" containsString="0" containsBlank="1" minDate="2012-10-02T00:00:00" maxDate="2019-08-20T00:00:00"/>
    </cacheField>
    <cacheField name="OS ESQ - Réalisé" numFmtId="0">
      <sharedItems containsNonDate="0" containsDate="1" containsString="0" containsBlank="1" minDate="2012-10-03T00:00:00" maxDate="2019-08-30T00:00:00"/>
    </cacheField>
    <cacheField name="ECART (j)" numFmtId="0">
      <sharedItems containsBlank="1" containsMixedTypes="1" containsNumber="1" containsInteger="1" minValue="-16" maxValue="33"/>
    </cacheField>
    <cacheField name="Dépôt du dossier PC en Mairie (GANTT)-Prévu" numFmtId="0">
      <sharedItems containsNonDate="0" containsDate="1" containsString="0" containsBlank="1" minDate="2012-11-14T00:00:00" maxDate="2020-05-01T00:00:00"/>
    </cacheField>
    <cacheField name="Dépôt du dossier PC en Mairie - Réalisé" numFmtId="0">
      <sharedItems containsNonDate="0" containsDate="1" containsString="0" containsBlank="1" minDate="2012-02-07T00:00:00" maxDate="2020-04-30T00:00:00"/>
    </cacheField>
    <cacheField name="Ecart dépôt PC (j)" numFmtId="0">
      <sharedItems containsBlank="1" containsMixedTypes="1" containsNumber="1" containsInteger="1" minValue="-730" maxValue="981"/>
    </cacheField>
    <cacheField name="OS APD - prévu" numFmtId="0">
      <sharedItems containsNonDate="0" containsDate="1" containsString="0" containsBlank="1" minDate="2013-04-09T00:00:00" maxDate="2020-04-17T00:00:00"/>
    </cacheField>
    <cacheField name="OS APD - Réalisé" numFmtId="0">
      <sharedItems containsNonDate="0" containsDate="1" containsString="0" containsBlank="1" minDate="2013-04-11T00:00:00" maxDate="2020-04-30T00:00:00"/>
    </cacheField>
    <cacheField name="Ecart" numFmtId="0">
      <sharedItems containsBlank="1" containsMixedTypes="1" containsNumber="1" containsInteger="1" minValue="-24" maxValue="1002"/>
    </cacheField>
    <cacheField name="OS PRO - prévu" numFmtId="0">
      <sharedItems containsNonDate="0" containsDate="1" containsString="0" containsBlank="1" minDate="2013-06-10T00:00:00" maxDate="2020-04-17T00:00:00"/>
    </cacheField>
    <cacheField name="OS PRO - Réalisé" numFmtId="0">
      <sharedItems containsNonDate="0" containsDate="1" containsString="0" containsBlank="1" minDate="2013-06-12T00:00:00" maxDate="2020-04-30T00:00:00"/>
    </cacheField>
    <cacheField name="Ecart2" numFmtId="0">
      <sharedItems containsBlank="1" containsMixedTypes="1" containsNumber="1" containsInteger="1" minValue="0" maxValue="1106"/>
    </cacheField>
    <cacheField name="OS DCE - prévu" numFmtId="0">
      <sharedItems containsNonDate="0" containsDate="1" containsString="0" containsBlank="1" minDate="2013-08-25T00:00:00" maxDate="2020-05-31T00:00:00"/>
    </cacheField>
    <cacheField name="OS DCE - Réalisé" numFmtId="0">
      <sharedItems containsNonDate="0" containsDate="1" containsString="0" containsBlank="1" minDate="2013-09-12T00:00:00" maxDate="2020-05-31T00:00:00"/>
    </cacheField>
    <cacheField name="Ecart3" numFmtId="0">
      <sharedItems containsBlank="1" containsMixedTypes="1" containsNumber="1" containsInteger="1" minValue="-1" maxValue="988"/>
    </cacheField>
    <cacheField name="Taux conformité DCE au CRATE " numFmtId="0">
      <sharedItems containsNonDate="0" containsString="0" containsBlank="1"/>
    </cacheField>
    <cacheField name="CAO" numFmtId="0">
      <sharedItems containsNonDate="0" containsDate="1" containsString="0" containsBlank="1" minDate="2014-02-14T00:00:00" maxDate="2020-05-03T00:00:00"/>
    </cacheField>
    <cacheField name="Signature Marché Travaux - Prévu" numFmtId="0">
      <sharedItems containsNonDate="0" containsDate="1" containsString="0" containsBlank="1" minDate="2013-10-26T00:00:00" maxDate="2020-08-03T00:00:00"/>
    </cacheField>
    <cacheField name="Signature Marché Travaux - Réalisé" numFmtId="0">
      <sharedItems containsNonDate="0" containsDate="1" containsString="0" containsBlank="1" minDate="2014-04-14T00:00:00" maxDate="2020-04-30T00:00:00"/>
    </cacheField>
    <cacheField name="Ecart4" numFmtId="0">
      <sharedItems containsBlank="1" containsMixedTypes="1" containsNumber="1" containsInteger="1" minValue="-29" maxValue="905"/>
    </cacheField>
    <cacheField name="Date OS Prévu" numFmtId="166">
      <sharedItems containsNonDate="0" containsDate="1" containsString="0" containsBlank="1" minDate="2014-04-14T00:00:00" maxDate="2021-07-02T00:00:00"/>
    </cacheField>
    <cacheField name="OS démarrage" numFmtId="0">
      <sharedItems containsNonDate="0" containsDate="1" containsString="0" containsBlank="1" minDate="2011-06-27T00:00:00" maxDate="2023-07-27T00:00:00" count="90">
        <d v="2011-06-27T00:00:00"/>
        <d v="2012-02-06T00:00:00"/>
        <d v="2012-03-02T00:00:00"/>
        <d v="2012-02-01T00:00:00"/>
        <d v="2011-12-21T00:00:00"/>
        <d v="2011-12-22T00:00:00"/>
        <d v="2018-09-19T00:00:00"/>
        <d v="2017-02-16T00:00:00"/>
        <d v="2017-02-06T00:00:00"/>
        <d v="2013-05-06T00:00:00"/>
        <d v="2015-05-15T00:00:00"/>
        <d v="2013-02-04T00:00:00"/>
        <d v="2013-01-21T00:00:00"/>
        <d v="2013-10-25T00:00:00"/>
        <d v="2013-06-26T00:00:00"/>
        <d v="2018-01-22T00:00:00"/>
        <d v="2017-07-31T00:00:00"/>
        <d v="2018-03-05T00:00:00"/>
        <d v="2014-05-05T00:00:00"/>
        <d v="2017-07-17T00:00:00"/>
        <d v="2017-12-22T00:00:00"/>
        <d v="2018-03-09T00:00:00"/>
        <d v="2018-06-12T00:00:00"/>
        <d v="2023-07-02T00:00:00"/>
        <d v="2023-07-18T00:00:00"/>
        <d v="2023-07-21T00:00:00"/>
        <d v="2013-02-15T00:00:00"/>
        <d v="2023-07-22T00:00:00"/>
        <d v="2017-02-14T00:00:00"/>
        <d v="2016-04-28T00:00:00"/>
        <d v="2014-03-31T00:00:00"/>
        <d v="2017-02-20T00:00:00"/>
        <d v="2014-08-25T00:00:00"/>
        <d v="2016-08-01T00:00:00"/>
        <d v="2015-12-10T00:00:00"/>
        <d v="2023-07-23T00:00:00"/>
        <d v="2016-05-10T00:00:00"/>
        <d v="2014-09-18T00:00:00"/>
        <d v="2023-07-24T00:00:00"/>
        <d v="2015-12-03T00:00:00"/>
        <d v="2023-07-25T00:00:00"/>
        <d v="2023-07-26T00:00:00"/>
        <m/>
        <d v="2018-12-07T00:00:00"/>
        <d v="2018-12-18T00:00:00"/>
        <d v="2018-01-01T00:00:00"/>
        <d v="2018-09-12T00:00:00"/>
        <d v="2018-09-20T00:00:00"/>
        <d v="2018-01-29T00:00:00"/>
        <d v="2019-07-19T00:00:00"/>
        <d v="2019-07-04T00:00:00"/>
        <d v="2019-07-22T00:00:00"/>
        <d v="2019-04-30T00:00:00"/>
        <d v="2019-04-01T00:00:00"/>
        <d v="2019-09-30T00:00:00"/>
        <d v="2020-02-12T00:00:00"/>
        <d v="2020-01-20T00:00:00"/>
        <d v="2020-08-20T00:00:00"/>
        <d v="2020-05-15T00:00:00"/>
        <d v="2021-03-15T00:00:00"/>
        <d v="2014-05-07T00:00:00"/>
        <d v="2014-04-22T00:00:00"/>
        <d v="2020-07-20T00:00:00"/>
        <d v="2021-02-01T00:00:00"/>
        <d v="2014-07-28T00:00:00"/>
        <d v="2014-06-11T00:00:00"/>
        <d v="2015-02-02T00:00:00"/>
        <d v="2021-03-20T00:00:00"/>
        <d v="2021-06-20T00:00:00"/>
        <d v="2021-04-20T00:00:00"/>
        <d v="2021-07-01T00:00:00"/>
        <d v="2022-07-01T00:00:00"/>
        <d v="2022-07-02T00:00:00"/>
        <d v="2022-07-03T00:00:00"/>
        <d v="2022-07-04T00:00:00"/>
        <d v="2022-07-05T00:00:00"/>
        <d v="2022-07-06T00:00:00"/>
        <d v="2022-07-07T00:00:00"/>
        <d v="2022-07-08T00:00:00"/>
        <d v="2022-07-09T00:00:00"/>
        <d v="2013-06-03T00:00:00"/>
        <d v="2023-07-01T00:00:00"/>
        <d v="2017-02-01T00:00:00"/>
        <d v="2023-07-03T00:00:00"/>
        <d v="2023-07-04T00:00:00"/>
        <d v="2023-07-05T00:00:00"/>
        <d v="2023-07-07T00:00:00"/>
        <d v="2023-07-11T00:00:00"/>
        <d v="2023-07-13T00:00:00"/>
        <d v="2023-07-08T00:00:00"/>
      </sharedItems>
      <fieldGroup par="233" base="101">
        <rangePr groupBy="months" startDate="2011-06-27T00:00:00" endDate="2023-07-27T00:00:00"/>
        <groupItems count="14">
          <s v="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7/07/2023"/>
        </groupItems>
      </fieldGroup>
    </cacheField>
    <cacheField name="ANNEE DEMARRAGE" numFmtId="0">
      <sharedItems containsString="0" containsBlank="1" containsNumber="1" containsInteger="1" minValue="2011" maxValue="2020" count="11">
        <n v="2011"/>
        <n v="2012"/>
        <n v="2018"/>
        <n v="2017"/>
        <n v="2013"/>
        <n v="2015"/>
        <n v="2014"/>
        <m/>
        <n v="2016"/>
        <n v="2019"/>
        <n v="2020"/>
      </sharedItems>
    </cacheField>
    <cacheField name="ECART Arrêté DEAL / OS" numFmtId="0">
      <sharedItems containsString="0" containsBlank="1" containsNumber="1" minValue="0" maxValue="1504.4333333333334"/>
    </cacheField>
    <cacheField name="Ecart " numFmtId="0">
      <sharedItems containsBlank="1" containsMixedTypes="1" containsNumber="1" containsInteger="1" minValue="-158" maxValue="418"/>
    </cacheField>
    <cacheField name="Délai chantier initial" numFmtId="1">
      <sharedItems containsString="0" containsBlank="1" containsNumber="1" containsInteger="1" minValue="7" maxValue="62"/>
    </cacheField>
    <cacheField name="Délai chantier réel" numFmtId="0">
      <sharedItems containsString="0" containsBlank="1" containsNumber="1" containsInteger="1" minValue="0" maxValue="65"/>
    </cacheField>
    <cacheField name="Terrassement - Prévu" numFmtId="166">
      <sharedItems containsNonDate="0" containsDate="1" containsString="0" containsBlank="1" minDate="2014-07-15T00:00:00" maxDate="2019-12-03T00:00:00"/>
    </cacheField>
    <cacheField name="Terrassement Réalisé" numFmtId="0">
      <sharedItems containsDate="1" containsString="0" containsBlank="1" containsMixedTypes="1" minDate="2017-03-13T00:00:00" maxDate="2020-04-30T00:00:00"/>
    </cacheField>
    <cacheField name="Ecart5" numFmtId="0">
      <sharedItems containsBlank="1" containsMixedTypes="1" containsNumber="1" containsInteger="1" minValue="-17" maxValue="354"/>
    </cacheField>
    <cacheField name="Fondations - Prévu" numFmtId="166">
      <sharedItems containsNonDate="0" containsDate="1" containsString="0" containsBlank="1" minDate="2014-08-29T00:00:00" maxDate="2020-03-07T00:00:00"/>
    </cacheField>
    <cacheField name="Fondations Réalisé" numFmtId="0">
      <sharedItems containsNonDate="0" containsDate="1" containsString="0" containsBlank="1" minDate="2015-05-29T00:00:00" maxDate="2020-04-30T00:00:00"/>
    </cacheField>
    <cacheField name="Ecart6" numFmtId="0">
      <sharedItems containsBlank="1" containsMixedTypes="1" containsNumber="1" containsInteger="1" minValue="-51" maxValue="273"/>
    </cacheField>
    <cacheField name="Elevations - Prévu" numFmtId="0">
      <sharedItems containsNonDate="0" containsDate="1" containsString="0" containsBlank="1" minDate="2015-02-16T00:00:00" maxDate="2020-07-11T00:00:00"/>
    </cacheField>
    <cacheField name="Elevations Réalisé" numFmtId="0">
      <sharedItems containsNonDate="0" containsDate="1" containsString="0" containsBlank="1" minDate="2015-09-08T00:00:00" maxDate="2020-07-11T00:00:00"/>
    </cacheField>
    <cacheField name="Ecart7" numFmtId="0">
      <sharedItems containsBlank="1" containsMixedTypes="1" containsNumber="1" containsInteger="1" minValue="-56" maxValue="439"/>
    </cacheField>
    <cacheField name="HDE - Prévu" numFmtId="0">
      <sharedItems containsNonDate="0" containsDate="1" containsString="0" containsBlank="1" minDate="2015-03-18T00:00:00" maxDate="2020-08-29T00:00:00"/>
    </cacheField>
    <cacheField name="HDE - Réalisé" numFmtId="0">
      <sharedItems containsNonDate="0" containsDate="1" containsString="0" containsBlank="1" minDate="2017-07-13T00:00:00" maxDate="2020-08-29T00:00:00"/>
    </cacheField>
    <cacheField name="Ecart8" numFmtId="0">
      <sharedItems containsBlank="1" containsMixedTypes="1" containsNumber="1" containsInteger="1" minValue="-21" maxValue="862"/>
    </cacheField>
    <cacheField name="HDA - Prévu" numFmtId="0">
      <sharedItems containsNonDate="0" containsDate="1" containsString="0" containsBlank="1" minDate="2015-03-18T00:00:00" maxDate="2020-08-22T00:00:00"/>
    </cacheField>
    <cacheField name="HDA - Réalisé" numFmtId="0">
      <sharedItems containsNonDate="0" containsDate="1" containsString="0" containsBlank="1" minDate="2017-07-27T00:00:00" maxDate="2020-04-30T00:00:00"/>
    </cacheField>
    <cacheField name="Ecart9" numFmtId="0">
      <sharedItems containsBlank="1" containsMixedTypes="1" containsNumber="1" containsInteger="1" minValue="-15" maxValue="862"/>
    </cacheField>
    <cacheField name="Cloisons - Prévu" numFmtId="0">
      <sharedItems containsNonDate="0" containsDate="1" containsString="0" containsBlank="1" minDate="2015-05-17T00:00:00" maxDate="2020-10-10T00:00:00"/>
    </cacheField>
    <cacheField name="Cloisons - Réalisé" numFmtId="0">
      <sharedItems containsNonDate="0" containsDate="1" containsString="0" containsBlank="1" minDate="2017-07-18T00:00:00" maxDate="2020-10-10T00:00:00"/>
    </cacheField>
    <cacheField name="Ecart10" numFmtId="0">
      <sharedItems containsBlank="1" containsMixedTypes="1" containsNumber="1" containsInteger="1" minValue="-120" maxValue="793"/>
    </cacheField>
    <cacheField name="Finitions int - Prévu" numFmtId="0">
      <sharedItems containsNonDate="0" containsDate="1" containsString="0" containsBlank="1" minDate="2015-08-15T00:00:00" maxDate="2020-09-26T00:00:00"/>
    </cacheField>
    <cacheField name="Finitions int - Réalisé" numFmtId="0">
      <sharedItems containsNonDate="0" containsDate="1" containsString="0" containsBlank="1" minDate="2017-09-07T00:00:00" maxDate="2020-09-26T00:00:00"/>
    </cacheField>
    <cacheField name="Ecart11" numFmtId="0">
      <sharedItems containsBlank="1" containsMixedTypes="1" containsNumber="1" containsInteger="1" minValue="0" maxValue="761"/>
    </cacheField>
    <cacheField name="Réception AEP" numFmtId="0">
      <sharedItems containsNonDate="0" containsDate="1" containsString="0" containsBlank="1" minDate="2017-11-13T00:00:00" maxDate="2020-10-10T00:00:00"/>
    </cacheField>
    <cacheField name="Réception FT" numFmtId="0">
      <sharedItems containsDate="1" containsBlank="1" containsMixedTypes="1" minDate="2017-11-02T00:00:00" maxDate="2020-10-10T00:00:00"/>
    </cacheField>
    <cacheField name="Réception EDF" numFmtId="0">
      <sharedItems containsNonDate="0" containsDate="1" containsString="0" containsBlank="1" minDate="2017-10-23T00:00:00" maxDate="2020-12-05T00:00:00"/>
    </cacheField>
    <cacheField name="Date réception prévue initialement" numFmtId="0">
      <sharedItems containsNonDate="0" containsDate="1" containsString="0" containsBlank="1" minDate="1901-04-30T00:00:00" maxDate="2028-09-09T00:00:00"/>
    </cacheField>
    <cacheField name="Date réception recalée" numFmtId="0">
      <sharedItems containsNonDate="0" containsDate="1" containsString="0" containsBlank="1" minDate="1901-07-30T00:00:00" maxDate="2028-12-09T00:00:00"/>
    </cacheField>
    <cacheField name="Retard réception (m)" numFmtId="0">
      <sharedItems containsDate="1" containsString="0" containsBlank="1" containsMixedTypes="1" minDate="1899-12-31T00:00:00" maxDate="1899-12-30T00:00:00"/>
    </cacheField>
    <cacheField name="Mois restant avant réception" numFmtId="0">
      <sharedItems containsString="0" containsBlank="1" containsNumber="1" minValue="0" maxValue="104.83333333333333"/>
    </cacheField>
    <cacheField name="DATE LIMITE DAT CREDIT IMPOT" numFmtId="0">
      <sharedItems containsNonDate="0" containsDate="1" containsString="0" containsBlank="1" minDate="1901-12-31T00:00:00" maxDate="2022-04-30T00:00:00"/>
    </cacheField>
    <cacheField name="DAT" numFmtId="0">
      <sharedItems containsNonDate="0" containsDate="1" containsString="0" containsBlank="1" minDate="2013-06-04T00:00:00" maxDate="2020-03-13T00:00:00"/>
    </cacheField>
    <cacheField name="Transmission Fiche Pgr GL" numFmtId="0">
      <sharedItems containsDate="1" containsBlank="1" containsMixedTypes="1" minDate="2015-12-04T00:00:00" maxDate="2019-11-20T00:00:00"/>
    </cacheField>
    <cacheField name="Date RDC Patrimoine" numFmtId="0">
      <sharedItems containsDate="1" containsBlank="1" containsMixedTypes="1" minDate="1900-05-02T00:00:00" maxDate="2029-04-11T00:00:00"/>
    </cacheField>
    <cacheField name="Date EDLE" numFmtId="0">
      <sharedItems containsDate="1" containsBlank="1" containsMixedTypes="1" minDate="2018-08-16T00:00:00" maxDate="2019-06-19T00:00:00"/>
    </cacheField>
    <cacheField name="Date inauguration initiale" numFmtId="0">
      <sharedItems containsNonDate="0" containsDate="1" containsString="0" containsBlank="1" minDate="1900-01-30T00:00:00" maxDate="2028-10-09T00:00:00"/>
    </cacheField>
    <cacheField name="Date inauguration recalée" numFmtId="0">
      <sharedItems containsNonDate="0" containsDate="1" containsString="0" containsBlank="1" minDate="1900-01-30T00:00:00" maxDate="2029-01-09T00:00:00" count="120">
        <d v="2013-07-26T00:00:00"/>
        <d v="2014-01-24T00:00:00"/>
        <d v="2014-05-15T00:00:00"/>
        <d v="2014-02-26T00:00:00"/>
        <d v="2014-02-13T00:00:00"/>
        <d v="2013-09-12T00:00:00"/>
        <d v="2013-07-31T00:00:00"/>
        <d v="2019-07-05T00:00:00"/>
        <d v="2019-02-19T00:00:00"/>
        <d v="2018-09-27T00:00:00"/>
        <d v="2014-09-12T00:00:00"/>
        <d v="2017-11-29T00:00:00"/>
        <d v="2015-06-03T00:00:00"/>
        <d v="2014-11-12T00:00:00"/>
        <d v="2016-09-14T00:00:00"/>
        <d v="2015-10-09T00:00:00"/>
        <d v="2019-08-05T00:00:00"/>
        <d v="2019-06-18T00:00:00"/>
        <d v="2019-09-24T00:00:00"/>
        <d v="2017-12-12T00:00:00"/>
        <d v="2019-06-29T00:00:00"/>
        <d v="2019-08-20T00:00:00"/>
        <d v="2020-01-20T00:00:00"/>
        <d v="1900-01-30T00:00:00"/>
        <d v="2017-05-24T00:00:00"/>
        <d v="2018-08-30T00:00:00"/>
        <d v="2017-08-10T00:00:00"/>
        <d v="2018-08-27T00:00:00"/>
        <d v="2017-12-04T00:00:00"/>
        <d v="2018-08-24T00:00:00"/>
        <d v="2017-02-08T00:00:00"/>
        <d v="2018-05-22T00:00:00"/>
        <d v="2014-11-04T00:00:00"/>
        <d v="2018-04-17T00:00:00"/>
        <d v="2015-05-27T00:00:00"/>
        <d v="2018-04-25T00:00:00"/>
        <d v="2016-07-26T00:00:00"/>
        <d v="2017-03-20T00:00:00"/>
        <d v="1901-08-30T00:00:00"/>
        <d v="1902-01-02T00:00:00"/>
        <d v="2020-05-15T00:00:00"/>
        <d v="2020-06-15T00:00:00"/>
        <d v="2020-08-08T00:00:00"/>
        <d v="2020-08-11T00:00:00"/>
        <d v="2020-09-04T00:00:00"/>
        <d v="2020-11-22T00:00:00"/>
        <d v="2020-12-30T00:00:00"/>
        <d v="2021-01-01T00:00:00"/>
        <d v="2021-04-08T00:00:00"/>
        <d v="2021-04-15T00:00:00"/>
        <d v="2021-05-30T00:00:00"/>
        <d v="2022-02-20T00:00:00"/>
        <d v="2016-02-09T00:00:00"/>
        <d v="2022-03-15T00:00:00"/>
        <d v="2022-04-15T00:00:00"/>
        <d v="2016-10-28T00:00:00"/>
        <d v="2016-12-22T00:00:00"/>
        <d v="2022-04-20T00:00:00"/>
        <d v="2017-11-30T00:00:00"/>
        <d v="2022-05-15T00:00:00"/>
        <d v="2022-05-20T00:00:00"/>
        <d v="2022-06-20T00:00:00"/>
        <d v="2022-10-01T00:00:00"/>
        <d v="2015-11-05T00:00:00"/>
        <d v="2016-11-30T00:00:00"/>
        <d v="2022-11-15T00:00:00"/>
        <d v="2016-11-08T00:00:00"/>
        <d v="2022-11-20T00:00:00"/>
        <d v="2022-12-20T00:00:00"/>
        <d v="2023-01-20T00:00:00"/>
        <d v="2023-02-20T00:00:00"/>
        <d v="2023-03-01T00:00:00"/>
        <d v="2023-04-20T00:00:00"/>
        <d v="2024-02-01T00:00:00"/>
        <d v="2024-03-02T00:00:00"/>
        <d v="2024-04-03T00:00:00"/>
        <d v="2024-05-04T00:00:00"/>
        <d v="2024-06-05T00:00:00"/>
        <d v="2024-07-06T00:00:00"/>
        <d v="2024-08-07T00:00:00"/>
        <d v="2024-09-08T00:00:00"/>
        <d v="2024-10-09T00:00:00"/>
        <d v="2026-02-01T00:00:00"/>
        <d v="2015-11-24T00:00:00"/>
        <d v="2026-04-01T00:00:00"/>
        <d v="2026-08-01T00:00:00"/>
        <d v="2027-05-01T00:00:00"/>
        <d v="2027-06-01T00:00:00"/>
        <d v="2027-08-01T00:00:00"/>
        <d v="2027-11-01T00:00:00"/>
        <d v="2027-12-01T00:00:00"/>
        <d v="2028-03-01T00:00:00"/>
        <d v="2028-04-01T00:00:00"/>
        <d v="2028-05-02T00:00:00"/>
        <d v="2019-06-22T00:00:00"/>
        <d v="2028-06-03T00:00:00"/>
        <d v="2028-07-04T00:00:00"/>
        <d v="2028-08-05T00:00:00"/>
        <d v="2028-09-07T00:00:00"/>
        <d v="2028-10-11T00:00:00"/>
        <d v="2028-11-13T00:00:00"/>
        <d v="2029-01-08T00:00:00"/>
        <m/>
        <d v="2021-03-15T00:00:00" u="1"/>
        <d v="2022-06-01T00:00:00" u="1"/>
        <d v="2020-12-01T00:00:00" u="1"/>
        <d v="2021-12-01T00:00:00" u="1"/>
        <d v="2023-01-01T00:00:00" u="1"/>
        <d v="2022-07-01T00:00:00" u="1"/>
        <d v="2021-12-20T00:00:00" u="1"/>
        <d v="2020-02-25T00:00:00" u="1"/>
        <d v="2022-01-20T00:00:00" u="1"/>
        <d v="2022-02-01T00:00:00" u="1"/>
        <d v="2021-04-02T00:00:00" u="1"/>
        <d v="2020-07-04T00:00:00" u="1"/>
        <d v="2022-03-01T00:00:00" u="1"/>
        <d v="2022-03-20T00:00:00" u="1"/>
        <d v="2022-04-01T00:00:00" u="1"/>
        <d v="2021-03-08T00:00:00" u="1"/>
        <d v="2021-01-22T00:00:00" u="1"/>
      </sharedItems>
    </cacheField>
    <cacheField name="Année Inauguration" numFmtId="0">
      <sharedItems containsString="0" containsBlank="1" containsNumber="1" containsInteger="1" minValue="2013" maxValue="2020" count="9">
        <n v="2013"/>
        <n v="2014"/>
        <n v="2019"/>
        <n v="2018"/>
        <n v="2017"/>
        <n v="2015"/>
        <n v="2016"/>
        <n v="2020"/>
        <m/>
      </sharedItems>
    </cacheField>
    <cacheField name="Retard Inauguration (m)" numFmtId="0">
      <sharedItems containsString="0" containsBlank="1" containsNumber="1" minValue="-3.5333333333333332" maxValue="1497.1666666666667"/>
    </cacheField>
    <cacheField name="Loyer mensuel" numFmtId="0">
      <sharedItems containsString="0" containsBlank="1" containsNumber="1" minValue="2035" maxValue="38106.375015552585"/>
    </cacheField>
    <cacheField name="Perte loyer" numFmtId="0">
      <sharedItems containsString="0" containsBlank="1" containsNumber="1" minValue="0" maxValue="843391.87190730055"/>
    </cacheField>
    <cacheField name="CAL" numFmtId="0">
      <sharedItems containsDate="1" containsBlank="1" containsMixedTypes="1" minDate="2016-10-27T00:00:00" maxDate="2017-09-22T00:00:00"/>
    </cacheField>
    <cacheField name="Fonds propres au démarrage" numFmtId="0">
      <sharedItems containsString="0" containsBlank="1" containsNumber="1" containsInteger="1" minValue="0" maxValue="368628"/>
    </cacheField>
    <cacheField name="Fonds propres actualisés" numFmtId="0">
      <sharedItems containsString="0" containsBlank="1" containsNumber="1" minValue="0" maxValue="384475"/>
    </cacheField>
    <cacheField name="IMPREVUS AU DEMARRAGE" numFmtId="3">
      <sharedItems containsBlank="1" containsMixedTypes="1" containsNumber="1" minValue="0" maxValue="491714.43721999996"/>
    </cacheField>
    <cacheField name="IMPREVUS ACTUALISES" numFmtId="0">
      <sharedItems containsString="0" containsBlank="1" containsNumber="1" minValue="0" maxValue="345197.8408103516"/>
    </cacheField>
    <cacheField name="TS Correspondant à des imprévus chantier (or résiliation)" numFmtId="0">
      <sharedItems containsString="0" containsBlank="1" containsNumber="1" minValue="0" maxValue="713667.76899999997"/>
    </cacheField>
    <cacheField name="% TS / PRP" numFmtId="0">
      <sharedItems containsBlank="1" containsMixedTypes="1" containsNumber="1" minValue="0" maxValue="0.10219803504442251"/>
    </cacheField>
    <cacheField name="RO successifs" numFmtId="0">
      <sharedItems containsBlank="1"/>
    </cacheField>
    <cacheField name="Résiliations marchés" numFmtId="0">
      <sharedItems containsBlank="1" longText="1"/>
    </cacheField>
    <cacheField name="Problémes chantier / RETARDS" numFmtId="0">
      <sharedItems containsBlank="1"/>
    </cacheField>
    <cacheField name="Observations générales" numFmtId="0">
      <sharedItems containsBlank="1" longText="1"/>
    </cacheField>
    <cacheField name="DATE LIMITE DAT" numFmtId="0">
      <sharedItems containsNonDate="0" containsDate="1" containsString="0" containsBlank="1" minDate="1901-12-31T00:00:00" maxDate="2022-04-30T00:00:00"/>
    </cacheField>
    <cacheField name="RFCT" numFmtId="0">
      <sharedItems containsDate="1" containsBlank="1" containsMixedTypes="1" minDate="2015-11-13T00:00:00" maxDate="2019-07-04T00:00:00"/>
    </cacheField>
    <cacheField name="H2" numFmtId="0">
      <sharedItems containsDate="1" containsBlank="1" containsMixedTypes="1" minDate="2016-06-15T00:00:00" maxDate="2019-09-24T00:00:00"/>
    </cacheField>
    <cacheField name="DGD" numFmtId="0">
      <sharedItems containsBlank="1"/>
    </cacheField>
    <cacheField name="DOE" numFmtId="0">
      <sharedItems containsDate="1" containsBlank="1" containsMixedTypes="1" minDate="2015-12-10T00:00:00" maxDate="2015-12-11T00:00:00"/>
    </cacheField>
    <cacheField name="Attestation conformité Mairie" numFmtId="0">
      <sharedItems containsDate="1" containsBlank="1" containsMixedTypes="1" minDate="2014-01-22T00:00:00" maxDate="2020-12-31T00:00:00"/>
    </cacheField>
    <cacheField name="Clôture DO" numFmtId="0">
      <sharedItems containsDate="1" containsBlank="1" containsMixedTypes="1" minDate="2015-02-24T00:00:00" maxDate="2019-12-03T00:00:00"/>
    </cacheField>
    <cacheField name="Fin GPA" numFmtId="0">
      <sharedItems containsNonDate="0" containsDate="1" containsString="0" containsBlank="1" minDate="1900-12-31T00:00:00" maxDate="2029-12-09T00:00:00"/>
    </cacheField>
    <cacheField name="Frais financiers clôture" numFmtId="0">
      <sharedItems containsString="0" containsBlank="1" containsNumber="1" minValue="0" maxValue="280724"/>
    </cacheField>
    <cacheField name="RDV pré-clôture avec RO" numFmtId="0">
      <sharedItems containsDate="1" containsBlank="1" containsMixedTypes="1" minDate="2014-10-03T00:00:00" maxDate="2019-04-09T00:00:00"/>
    </cacheField>
    <cacheField name="Transmission budget pré-clôture DAF" numFmtId="0">
      <sharedItems containsDate="1" containsBlank="1" containsMixedTypes="1" minDate="2014-10-06T00:00:00" maxDate="2019-12-18T00:00:00"/>
    </cacheField>
    <cacheField name="Budget pré-clôture validé DAF" numFmtId="0">
      <sharedItems containsDate="1" containsBlank="1" containsMixedTypes="1" minDate="2018-11-19T00:00:00" maxDate="2020-01-24T00:00:00"/>
    </cacheField>
    <cacheField name="RDV clôture avec RO" numFmtId="0">
      <sharedItems containsDate="1" containsBlank="1" containsMixedTypes="1" minDate="2014-10-07T00:00:00" maxDate="2016-10-05T00:00:00"/>
    </cacheField>
    <cacheField name="Transmission budget DAF" numFmtId="0">
      <sharedItems containsDate="1" containsBlank="1" containsMixedTypes="1" minDate="2014-10-09T00:00:00" maxDate="2019-04-20T00:00:00"/>
    </cacheField>
    <cacheField name="Budget clôture validé DAF" numFmtId="0">
      <sharedItems containsNonDate="0" containsDate="1" containsString="0" containsBlank="1" minDate="2015-03-16T00:00:00" maxDate="2018-04-28T00:00:00"/>
    </cacheField>
    <cacheField name="Avenant global" numFmtId="0">
      <sharedItems containsBlank="1"/>
    </cacheField>
    <cacheField name="Dépôt DDA définitif" numFmtId="0">
      <sharedItems containsDate="1" containsBlank="1" containsMixedTypes="1" minDate="2015-04-27T00:00:00" maxDate="2018-08-25T00:00:00"/>
    </cacheField>
    <cacheField name="Agrément définitif" numFmtId="0">
      <sharedItems containsDate="1" containsBlank="1" containsMixedTypes="1" minDate="2017-04-26T00:00:00" maxDate="2017-04-27T00:00:00"/>
    </cacheField>
    <cacheField name="Baux" numFmtId="0">
      <sharedItems containsDate="1" containsBlank="1" containsMixedTypes="1" minDate="2017-03-14T00:00:00" maxDate="2019-11-23T00:00:00"/>
    </cacheField>
    <cacheField name="Rapport de fin d'opération" numFmtId="0">
      <sharedItems containsDate="1" containsBlank="1" containsMixedTypes="1" minDate="2018-02-08T00:00:00" maxDate="2018-02-09T00:00:00"/>
    </cacheField>
    <cacheField name="Transmission patrimoine" numFmtId="0">
      <sharedItems containsDate="1" containsBlank="1" containsMixedTypes="1" minDate="2015-04-20T00:00:00" maxDate="2020-01-09T00:00:00"/>
    </cacheField>
    <cacheField name="Archivage" numFmtId="0">
      <sharedItems containsBlank="1"/>
    </cacheField>
    <cacheField name="PRP CA" numFmtId="0">
      <sharedItems containsString="0" containsBlank="1" containsNumber="1" minValue="1544438" maxValue="14323815"/>
    </cacheField>
    <cacheField name="PRP TTC HORS FRAFU" numFmtId="0">
      <sharedItems containsString="0" containsBlank="1" containsNumber="1" minValue="0" maxValue="23298808"/>
    </cacheField>
    <cacheField name="PRP TTC  " numFmtId="0">
      <sharedItems containsString="0" containsBlank="1" containsNumber="1" minValue="0" maxValue="23298808"/>
    </cacheField>
    <cacheField name="PRP TTC AVEC FRAFU" numFmtId="0">
      <sharedItems containsString="0" containsBlank="1" containsNumber="1" minValue="0" maxValue="23298808"/>
    </cacheField>
    <cacheField name="SUBVENTIONS TOTALES" numFmtId="0">
      <sharedItems containsString="0" containsBlank="1" containsNumber="1" minValue="0" maxValue="2455688"/>
    </cacheField>
    <cacheField name="PRP /m² SF" numFmtId="0">
      <sharedItems containsBlank="1" containsMixedTypes="1" containsNumber="1" minValue="0" maxValue="3242.5314665682336"/>
    </cacheField>
    <cacheField name="PRP / lgt" numFmtId="0">
      <sharedItems containsBlank="1" containsMixedTypes="1" containsNumber="1" minValue="0" maxValue="221196.32054047618"/>
    </cacheField>
    <cacheField name="CREDIT IMPOT ACTUEL" numFmtId="0">
      <sharedItems containsString="0" containsBlank="1" containsNumber="1" minValue="0" maxValue="7404711"/>
    </cacheField>
    <cacheField name="PRÊT CREDIT D'IMPOT (PM)" numFmtId="0">
      <sharedItems containsString="0" containsBlank="1" containsNumber="1" minValue="467856.31809465517" maxValue="4167541.411448"/>
    </cacheField>
    <cacheField name="DEFISC / lgt" numFmtId="0">
      <sharedItems containsBlank="1" containsMixedTypes="1" containsNumber="1" minValue="0" maxValue="74170.559981473416"/>
    </cacheField>
    <cacheField name="PRÊT " numFmtId="0">
      <sharedItems containsString="0" containsBlank="1" containsNumber="1" minValue="0" maxValue="13820097"/>
    </cacheField>
    <cacheField name="FONCIER2" numFmtId="0">
      <sharedItems containsString="0" containsBlank="1" containsNumber="1" minValue="64199" maxValue="2431893"/>
    </cacheField>
    <cacheField name="CONSTRUCTION" numFmtId="0">
      <sharedItems containsString="0" containsBlank="1" containsNumber="1" minValue="249856" maxValue="11388204"/>
    </cacheField>
    <cacheField name="PRÊT / lgt" numFmtId="168">
      <sharedItems containsString="0" containsBlank="1" containsNumber="1" minValue="0" maxValue="179542.16125"/>
    </cacheField>
    <cacheField name="PRÊT COMPLEMENTAIRE" numFmtId="0">
      <sharedItems containsString="0" containsBlank="1" containsNumber="1" minValue="0" maxValue="2074429"/>
    </cacheField>
    <cacheField name="LBU " numFmtId="0">
      <sharedItems containsString="0" containsBlank="1" containsNumber="1" minValue="0" maxValue="2325000"/>
    </cacheField>
    <cacheField name="CAF" numFmtId="0">
      <sharedItems containsString="0" containsBlank="1" containsNumber="1" minValue="0" maxValue="415000"/>
    </cacheField>
    <cacheField name="% LBU / PRP" numFmtId="0">
      <sharedItems containsBlank="1" containsMixedTypes="1" containsNumber="1" minValue="0" maxValue="0.35455953489530023"/>
    </cacheField>
    <cacheField name="PHB 2.0" numFmtId="0">
      <sharedItems containsString="0" containsBlank="1" containsNumber="1" containsInteger="1" minValue="0" maxValue="740000"/>
    </cacheField>
    <cacheField name="SUB ETAT" numFmtId="0">
      <sharedItems containsString="0" containsBlank="1" containsNumber="1" containsInteger="1" minValue="655125" maxValue="1227844"/>
    </cacheField>
    <cacheField name="AUTRES SUBVENTIONS" numFmtId="0">
      <sharedItems containsString="0" containsBlank="1" containsNumber="1" minValue="0" maxValue="1227844"/>
    </cacheField>
    <cacheField name="LBU / lgt_x000a_" numFmtId="0">
      <sharedItems containsString="0" containsBlank="1" containsNumber="1" minValue="0" maxValue="46945.481481481482"/>
    </cacheField>
    <cacheField name="LBU+Défisc/lgt" numFmtId="0">
      <sharedItems containsString="0" containsBlank="1" containsNumber="1" minValue="0" maxValue="97131.797142857147"/>
    </cacheField>
    <cacheField name="PRP FRAFU hors TVA résiduelle" numFmtId="0">
      <sharedItems containsString="0" containsBlank="1" containsNumber="1" minValue="0" maxValue="2467086.73961312"/>
    </cacheField>
    <cacheField name="FRAFU" numFmtId="0">
      <sharedItems containsString="0" containsBlank="1" containsNumber="1" minValue="0" maxValue="1660000"/>
    </cacheField>
    <cacheField name="AIDES ETAT / lgt" numFmtId="0">
      <sharedItems containsBlank="1" containsMixedTypes="1" containsNumber="1" minValue="17038.298862835098" maxValue="97131.797142857147"/>
    </cacheField>
    <cacheField name="SUBVENTION COLLECTIVITE FRAFU" numFmtId="0">
      <sharedItems containsString="0" containsBlank="1" containsNumber="1" minValue="0" maxValue="1220907.39295"/>
    </cacheField>
    <cacheField name="AIDES PUBLIQUES / lgt" numFmtId="0">
      <sharedItems containsString="0" containsBlank="1" containsNumber="1" minValue="0" maxValue="267168.17749999999"/>
    </cacheField>
    <cacheField name="% AIDES PUBLIQUES" numFmtId="0">
      <sharedItems containsBlank="1" containsMixedTypes="1" containsNumber="1" minValue="0.27850208564751272" maxValue="0.98213005737222903"/>
    </cacheField>
    <cacheField name="CESSION FONCIERE" numFmtId="0">
      <sharedItems containsString="0" containsBlank="1" containsNumber="1" minValue="0" maxValue="770132.02990000008"/>
    </cacheField>
    <cacheField name="FONDS PROPRES FRAFU" numFmtId="0">
      <sharedItems containsNonDate="0" containsString="0" containsBlank="1"/>
    </cacheField>
    <cacheField name="FONDS PROPRES CONSTRUCTION" numFmtId="0">
      <sharedItems containsString="0" containsBlank="1" containsNumber="1" minValue="0" maxValue="520000"/>
    </cacheField>
    <cacheField name="DEPENSES COMPTABILISEES" numFmtId="0">
      <sharedItems containsString="0" containsBlank="1" containsNumber="1" minValue="31301" maxValue="9572866.6500000004"/>
    </cacheField>
    <cacheField name="% avancement dépenses" numFmtId="0">
      <sharedItems containsBlank="1" containsMixedTypes="1" containsNumber="1" minValue="0" maxValue="2.4229424804785209"/>
    </cacheField>
    <cacheField name="RESTE A DEPENSER" numFmtId="0">
      <sharedItems containsString="0" containsBlank="1" containsNumber="1" minValue="-1945464.0346199996" maxValue="23298808"/>
    </cacheField>
    <cacheField name="RESTE A DEPENSER jusqu'au 31/12/20" numFmtId="0">
      <sharedItems containsString="0" containsBlank="1" containsNumber="1" minValue="-1945464.0346199996" maxValue="14364754"/>
    </cacheField>
    <cacheField name="% avancement dépenses à fin 2020" numFmtId="0">
      <sharedItems containsBlank="1" containsMixedTypes="1" containsNumber="1" minValue="0" maxValue="1"/>
    </cacheField>
    <cacheField name="SUBVENTIONS COMPTABILISEES" numFmtId="0">
      <sharedItems containsString="0" containsBlank="1" containsNumber="1" minValue="0" maxValue="8804812.7300000004"/>
    </cacheField>
    <cacheField name="SUBVENTIONS RESTANTES" numFmtId="0">
      <sharedItems containsString="0" containsBlank="1" containsNumber="1" minValue="-7761032.7300000004" maxValue="2448828"/>
    </cacheField>
    <cacheField name="% avancement subventions" numFmtId="0">
      <sharedItems containsBlank="1" containsMixedTypes="1" containsNumber="1" minValue="0" maxValue="9.3761615217596521"/>
    </cacheField>
    <cacheField name="OBS" numFmtId="0">
      <sharedItems containsBlank="1"/>
    </cacheField>
    <cacheField name="TERRAIN" numFmtId="0">
      <sharedItems containsString="0" containsBlank="1" containsNumber="1" minValue="297216.28000000003" maxValue="1270612.5"/>
    </cacheField>
    <cacheField name="dont prix foncier" numFmtId="0">
      <sharedItems containsString="0" containsBlank="1" containsNumber="1" minValue="265365" maxValue="1069200"/>
    </cacheField>
    <cacheField name="VRD " numFmtId="0">
      <sharedItems containsString="0" containsBlank="1" containsNumber="1" minValue="311140.07999999996" maxValue="1297109.6599999999"/>
    </cacheField>
    <cacheField name="CONSTRUCTION2" numFmtId="0">
      <sharedItems containsString="0" containsBlank="1" containsNumber="1" minValue="0" maxValue="6501522.5099999998"/>
    </cacheField>
    <cacheField name="GO" numFmtId="0">
      <sharedItems containsString="0" containsBlank="1" containsNumber="1" minValue="610988.42000000004" maxValue="3278983.33"/>
    </cacheField>
    <cacheField name="HDE  (bardage / étanchéité / couverture)" numFmtId="0">
      <sharedItems containsString="0" containsBlank="1" containsNumber="1" minValue="215846.06999999998" maxValue="583458.17999999993"/>
    </cacheField>
    <cacheField name="HDA" numFmtId="0">
      <sharedItems containsString="0" containsBlank="1" containsNumber="1" minValue="88768" maxValue="238242"/>
    </cacheField>
    <cacheField name="FINITIONS" numFmtId="0">
      <sharedItems containsString="0" containsBlank="1" containsNumber="1" containsInteger="1" minValue="403078" maxValue="1441010"/>
    </cacheField>
    <cacheField name="FLUIDES" numFmtId="0">
      <sharedItems containsString="0" containsBlank="1" containsNumber="1" minValue="277650.01" maxValue="959829"/>
    </cacheField>
    <cacheField name="HONORAIRES" numFmtId="0">
      <sharedItems containsString="0" containsBlank="1" containsNumber="1" containsInteger="1" minValue="530095" maxValue="1522741"/>
    </cacheField>
    <cacheField name="TOTAL PRP HT" numFmtId="165">
      <sharedItems containsString="0" containsBlank="1" containsNumber="1" minValue="0" maxValue="9980786.9800000004"/>
    </cacheField>
    <cacheField name="Cr2" numFmtId="165">
      <sharedItems containsString="0" containsBlank="1" containsNumber="1" minValue="-3911389" maxValue="77403.368177499622"/>
    </cacheField>
    <cacheField name="Trimestres" numFmtId="0" databaseField="0">
      <fieldGroup base="101">
        <rangePr groupBy="quarters" startDate="2011-06-27T00:00:00" endDate="2023-07-27T00:00:00"/>
        <groupItems count="6">
          <s v="&lt;27/06/2011"/>
          <s v="Trimestre1"/>
          <s v="Trimestre2"/>
          <s v="Trimestre3"/>
          <s v="Trimestre4"/>
          <s v="&gt;27/07/2023"/>
        </groupItems>
      </fieldGroup>
    </cacheField>
    <cacheField name="Années" numFmtId="0" databaseField="0">
      <fieldGroup base="101">
        <rangePr groupBy="years" startDate="2011-06-27T00:00:00" endDate="2023-07-27T00:00:00"/>
        <groupItems count="15">
          <s v="&lt;27/06/2011"/>
          <s v="2011"/>
          <s v="2012"/>
          <s v="2013"/>
          <s v="2014"/>
          <s v="2015"/>
          <s v="2016"/>
          <s v="2017"/>
          <s v="2018"/>
          <s v="2019"/>
          <s v="2020"/>
          <s v="2021"/>
          <s v="2022"/>
          <s v="2023"/>
          <s v="&gt;27/07/2023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52">
  <r>
    <s v="DESIRE"/>
    <x v="0"/>
    <x v="0"/>
    <x v="0"/>
    <s v="PRLC 0099"/>
    <s v="FHO"/>
    <m/>
    <x v="0"/>
    <s v="oui"/>
    <m/>
    <s v="rétrocession voirie Mairie à faire : solliciter la Commune_x000a_"/>
    <m/>
    <m/>
    <m/>
    <n v="9556"/>
    <n v="407560.68000000005"/>
    <n v="222180"/>
    <n v="15094.840000000002"/>
    <n v="42.649715362076186"/>
    <n v="23.250313938886563"/>
    <n v="100.42124674573334"/>
    <n v="8228.8888888888887"/>
    <n v="353.92592592592592"/>
    <m/>
    <n v="28.25449979070741"/>
    <s v="UC"/>
    <m/>
    <m/>
    <x v="0"/>
    <n v="27"/>
    <n v="27"/>
    <m/>
    <n v="27"/>
    <m/>
    <m/>
    <n v="2176.829999999999"/>
    <n v="2212.4799999999991"/>
    <n v="80.623333333333292"/>
    <n v="81.943703703703676"/>
    <n v="4.9800000000000004"/>
    <n v="4.9000000000000004"/>
    <n v="401.69"/>
    <m/>
    <n v="0.22"/>
    <n v="0.3"/>
    <n v="0.3"/>
    <n v="0.19"/>
    <n v="1400"/>
    <m/>
    <n v="0"/>
    <n v="3"/>
    <s v="collectif"/>
    <s v="non"/>
    <m/>
    <m/>
    <m/>
    <m/>
    <m/>
    <m/>
    <d v="2011-09-30T00:00:00"/>
    <m/>
    <d v="2010-03-30T00:00:00"/>
    <d v="2010-11-09T00:00:00"/>
    <m/>
    <n v="7.4666666666666668"/>
    <m/>
    <m/>
    <m/>
    <m/>
    <m/>
    <m/>
    <m/>
    <d v="2013-02-02T00:00:00"/>
    <d v="2015-02-02T00:00:00"/>
    <m/>
    <s v="non"/>
    <n v="18"/>
    <n v="199818"/>
    <n v="-199818"/>
    <m/>
    <m/>
    <m/>
    <s v="0"/>
    <m/>
    <m/>
    <s v="0"/>
    <m/>
    <m/>
    <s v="0"/>
    <m/>
    <m/>
    <s v="0"/>
    <m/>
    <m/>
    <s v="0"/>
    <m/>
    <m/>
    <m/>
    <m/>
    <s v="0"/>
    <m/>
    <x v="0"/>
    <x v="0"/>
    <n v="7.666666666666667"/>
    <s v="0"/>
    <n v="15"/>
    <n v="24"/>
    <m/>
    <m/>
    <s v="0"/>
    <m/>
    <m/>
    <s v="0"/>
    <m/>
    <m/>
    <s v="0"/>
    <m/>
    <m/>
    <s v="0"/>
    <m/>
    <m/>
    <s v="0"/>
    <m/>
    <m/>
    <s v="0"/>
    <m/>
    <m/>
    <s v="0"/>
    <m/>
    <m/>
    <m/>
    <d v="2012-09-27T00:00:00"/>
    <d v="2013-07-09T00:00:00"/>
    <n v="9.5"/>
    <m/>
    <m/>
    <d v="2013-11-28T00:00:00"/>
    <s v="ok"/>
    <d v="2013-07-26T00:00:00"/>
    <m/>
    <d v="2012-10-27T00:00:00"/>
    <x v="0"/>
    <x v="0"/>
    <n v="9.0666666666666664"/>
    <n v="11101"/>
    <n v="100649.06666666667"/>
    <m/>
    <m/>
    <n v="1409"/>
    <m/>
    <m/>
    <m/>
    <n v="0"/>
    <m/>
    <s v="Lot Charpente : BCCM par CMOI_x000a_Lot Peinture/Sol : RSOP par Corail_x000a_Lot Etanchéité : RVD par Corail_x000a_Lot ECS : Sunzil par Gaia _x000a_Soit 4 lots / 14 lots  =  28 % "/>
    <m/>
    <m/>
    <d v="1901-12-31T00:00:00"/>
    <m/>
    <m/>
    <m/>
    <m/>
    <m/>
    <m/>
    <d v="2014-07-09T00:00:00"/>
    <n v="51423"/>
    <s v="ok"/>
    <m/>
    <m/>
    <d v="2014-10-14T00:00:00"/>
    <s v="attente doc signé"/>
    <m/>
    <s v="SO"/>
    <s v="SO"/>
    <m/>
    <m/>
    <m/>
    <d v="2015-04-20T00:00:00"/>
    <s v="ok"/>
    <m/>
    <n v="3574937"/>
    <n v="3574937"/>
    <n v="4931973.7537225001"/>
    <n v="1362028"/>
    <n v="1615.8053406132492"/>
    <n v="132405.07407407407"/>
    <n v="0"/>
    <m/>
    <n v="0"/>
    <n v="2306000"/>
    <n v="511146"/>
    <n v="1794854"/>
    <n v="85407.407407407401"/>
    <m/>
    <n v="1267528"/>
    <n v="94500"/>
    <n v="0.35455953489530023"/>
    <m/>
    <m/>
    <m/>
    <n v="46945.481481481482"/>
    <n v="46945.481481481482"/>
    <n v="1627516.7537225003"/>
    <n v="656094.66"/>
    <n v="71245.28370370371"/>
    <n v="760751.49324999994"/>
    <n v="99421.264935185187"/>
    <n v="0.54427989427638745"/>
    <n v="270480"/>
    <m/>
    <n v="1409"/>
    <m/>
    <n v="0"/>
    <n v="3574937"/>
    <n v="3574937"/>
    <m/>
    <m/>
    <n v="1362028"/>
    <n v="0"/>
    <m/>
    <n v="436464"/>
    <n v="407560.68000000005"/>
    <n v="1297109.6599999999"/>
    <n v="2482653.2400000002"/>
    <n v="1000827.79"/>
    <n v="358444.61"/>
    <n v="136084.84"/>
    <n v="623711"/>
    <n v="363585"/>
    <n v="690117"/>
    <n v="4906343.9000000004"/>
    <n v="77403.368177499622"/>
  </r>
  <r>
    <s v="JULES VIENNE"/>
    <x v="0"/>
    <x v="0"/>
    <x v="0"/>
    <s v="PRLC 0098"/>
    <s v="FMA"/>
    <s v="SRI"/>
    <x v="0"/>
    <m/>
    <m/>
    <s v="vente des lots à faire : signature SICA en mai 2017_x000a_voie à rétrocéder à l'issue du contentieux"/>
    <m/>
    <m/>
    <m/>
    <n v="9462"/>
    <n v="874165.66"/>
    <n v="262890"/>
    <n v="29138.855333333333"/>
    <n v="92.386985838089203"/>
    <n v="27.783766645529486"/>
    <n v="117.46438848277958"/>
    <n v="8763"/>
    <n v="315.39999999999998"/>
    <n v="379.2"/>
    <n v="31.705770450221941"/>
    <s v="UC"/>
    <m/>
    <m/>
    <x v="0"/>
    <n v="30"/>
    <n v="30"/>
    <m/>
    <n v="30"/>
    <m/>
    <m/>
    <n v="2229.46"/>
    <n v="2238.04"/>
    <n v="74.315333333333328"/>
    <n v="74.601333333333329"/>
    <n v="5.05"/>
    <n v="5.03"/>
    <n v="375.57"/>
    <m/>
    <n v="0.17"/>
    <n v="0.37"/>
    <n v="0.33"/>
    <n v="0.13"/>
    <n v="1419.56"/>
    <n v="664"/>
    <n v="7.0175438596491224E-2"/>
    <m/>
    <s v="collectif"/>
    <s v="non"/>
    <m/>
    <m/>
    <m/>
    <m/>
    <m/>
    <m/>
    <d v="2011-09-30T00:00:00"/>
    <m/>
    <d v="2010-03-30T00:00:00"/>
    <d v="2010-11-09T00:00:00"/>
    <m/>
    <n v="7.4666666666666668"/>
    <m/>
    <m/>
    <m/>
    <m/>
    <m/>
    <m/>
    <m/>
    <d v="2013-02-03T00:00:00"/>
    <d v="2015-02-03T00:00:00"/>
    <m/>
    <s v="non"/>
    <n v="12"/>
    <n v="143136"/>
    <n v="-143136"/>
    <m/>
    <m/>
    <m/>
    <s v="0"/>
    <m/>
    <m/>
    <s v="0"/>
    <m/>
    <m/>
    <s v="0"/>
    <m/>
    <m/>
    <s v="0"/>
    <m/>
    <m/>
    <s v="0"/>
    <m/>
    <m/>
    <m/>
    <m/>
    <s v="0"/>
    <m/>
    <x v="1"/>
    <x v="1"/>
    <n v="15.133333333333333"/>
    <s v="0"/>
    <n v="15"/>
    <n v="21"/>
    <m/>
    <m/>
    <s v="0"/>
    <m/>
    <m/>
    <s v="0"/>
    <m/>
    <m/>
    <s v="0"/>
    <m/>
    <m/>
    <s v="0"/>
    <m/>
    <m/>
    <s v="0"/>
    <m/>
    <m/>
    <s v="0"/>
    <m/>
    <m/>
    <s v="0"/>
    <m/>
    <m/>
    <m/>
    <d v="2013-05-06T00:00:00"/>
    <d v="2013-11-23T00:00:00"/>
    <n v="6.7"/>
    <m/>
    <m/>
    <d v="2014-01-30T00:00:00"/>
    <s v="ok"/>
    <d v="2014-01-24T00:00:00"/>
    <m/>
    <d v="2013-06-06T00:00:00"/>
    <x v="1"/>
    <x v="1"/>
    <n v="7.7333333333333334"/>
    <n v="11928"/>
    <n v="92243.199999999997"/>
    <m/>
    <m/>
    <n v="70784"/>
    <m/>
    <m/>
    <m/>
    <n v="0"/>
    <m/>
    <s v="Lot Couverture : BCCM par GMF_x000a_soit 1 lot sur 14_x000a_2 RO"/>
    <m/>
    <m/>
    <d v="1901-12-31T00:00:00"/>
    <m/>
    <m/>
    <s v="ok"/>
    <s v="ok"/>
    <m/>
    <d v="2016-11-23T00:00:00"/>
    <d v="2014-11-23T00:00:00"/>
    <n v="59348.24"/>
    <s v="ok"/>
    <m/>
    <m/>
    <d v="2014-10-13T00:00:00"/>
    <d v="2014-10-16T00:00:00"/>
    <m/>
    <m/>
    <s v="SO"/>
    <m/>
    <m/>
    <m/>
    <m/>
    <s v="ok"/>
    <m/>
    <n v="3911389"/>
    <n v="3911389"/>
    <n v="3911389"/>
    <n v="1359605"/>
    <n v="1747.6850279709031"/>
    <n v="130379.63333333333"/>
    <n v="0"/>
    <m/>
    <n v="0"/>
    <n v="2481000"/>
    <n v="486094"/>
    <n v="1994906"/>
    <n v="82700"/>
    <m/>
    <n v="1359605"/>
    <m/>
    <n v="0.34760158092176463"/>
    <m/>
    <m/>
    <m/>
    <n v="45320.166666666664"/>
    <n v="45320.166666666664"/>
    <n v="2106869"/>
    <n v="550000"/>
    <n v="63653.5"/>
    <n v="1220907.39295"/>
    <n v="104350.41309833335"/>
    <n v="0.5439291445742479"/>
    <n v="262890"/>
    <m/>
    <n v="70784"/>
    <m/>
    <n v="0"/>
    <n v="3911389"/>
    <n v="3911389"/>
    <m/>
    <m/>
    <n v="1359605"/>
    <n v="0"/>
    <m/>
    <m/>
    <m/>
    <m/>
    <n v="0"/>
    <m/>
    <m/>
    <m/>
    <m/>
    <m/>
    <m/>
    <n v="0"/>
    <n v="-3911389"/>
  </r>
  <r>
    <s v="Lavoir "/>
    <x v="1"/>
    <x v="1"/>
    <x v="1"/>
    <s v="PRLC 0100"/>
    <s v="YFR"/>
    <s v="NLE"/>
    <x v="0"/>
    <m/>
    <m/>
    <m/>
    <m/>
    <m/>
    <m/>
    <n v="2405"/>
    <n v="133800"/>
    <n v="120788"/>
    <n v="9557.1428571428569"/>
    <n v="55.634095634095637"/>
    <n v="50.223700623700623"/>
    <n v="102.03671321287075"/>
    <n v="8627.7142857142862"/>
    <n v="171.78571428571428"/>
    <m/>
    <n v="58.21205821205821"/>
    <s v="UC"/>
    <m/>
    <m/>
    <x v="0"/>
    <n v="14"/>
    <n v="14"/>
    <m/>
    <n v="14"/>
    <m/>
    <m/>
    <n v="1008.77"/>
    <n v="1183.77"/>
    <n v="72.054999999999993"/>
    <n v="84.554999999999993"/>
    <n v="5.74"/>
    <n v="4.8899999999999997"/>
    <n v="413.51"/>
    <m/>
    <m/>
    <m/>
    <m/>
    <m/>
    <n v="600"/>
    <s v="x"/>
    <e v="#VALUE!"/>
    <n v="2"/>
    <s v="collectif"/>
    <s v="oui"/>
    <m/>
    <m/>
    <m/>
    <m/>
    <m/>
    <m/>
    <d v="2011-09-30T00:00:00"/>
    <m/>
    <d v="2011-03-30T00:00:00"/>
    <d v="2011-12-07T00:00:00"/>
    <m/>
    <n v="8.4"/>
    <m/>
    <m/>
    <m/>
    <m/>
    <m/>
    <m/>
    <m/>
    <d v="2013-02-10T00:00:00"/>
    <d v="2015-02-10T00:00:00"/>
    <m/>
    <s v="non"/>
    <n v="8"/>
    <n v="47712"/>
    <n v="-47712"/>
    <m/>
    <m/>
    <m/>
    <s v="0"/>
    <m/>
    <m/>
    <s v="0"/>
    <m/>
    <m/>
    <s v="0"/>
    <m/>
    <m/>
    <s v="0"/>
    <m/>
    <m/>
    <s v="0"/>
    <m/>
    <m/>
    <m/>
    <m/>
    <s v="0"/>
    <m/>
    <x v="2"/>
    <x v="1"/>
    <n v="2.8666666666666667"/>
    <s v="0"/>
    <n v="12"/>
    <n v="20"/>
    <m/>
    <m/>
    <s v="0"/>
    <m/>
    <m/>
    <s v="0"/>
    <m/>
    <d v="2020-04-29T00:00:00"/>
    <s v="0"/>
    <m/>
    <m/>
    <s v="0"/>
    <m/>
    <m/>
    <s v="0"/>
    <m/>
    <m/>
    <s v="0"/>
    <m/>
    <m/>
    <s v="0"/>
    <m/>
    <m/>
    <m/>
    <d v="2013-03-02T00:00:00"/>
    <d v="2013-11-05T00:00:00"/>
    <n v="8.2666666666666675"/>
    <m/>
    <m/>
    <d v="2013-12-19T00:00:00"/>
    <s v="ok"/>
    <d v="2014-05-15T00:00:00"/>
    <m/>
    <d v="2013-04-02T00:00:00"/>
    <x v="2"/>
    <x v="1"/>
    <n v="13.6"/>
    <n v="5964"/>
    <n v="81110.399999999994"/>
    <m/>
    <m/>
    <n v="253357.88"/>
    <m/>
    <m/>
    <m/>
    <n v="0"/>
    <m/>
    <s v="Lot GO : Dunite btp par CH2D_x000a_Lot Métallerie : Sodure par Espace alu_x000a_Soit 2 sur 14 lots = 14%_x000a_4 RO"/>
    <m/>
    <m/>
    <d v="1901-12-31T00:00:00"/>
    <m/>
    <m/>
    <m/>
    <m/>
    <d v="2014-01-22T00:00:00"/>
    <s v="ok"/>
    <d v="2014-11-05T00:00:00"/>
    <n v="31451.360000000001"/>
    <s v="ok"/>
    <m/>
    <m/>
    <d v="2014-10-07T00:00:00"/>
    <d v="2014-10-13T00:00:00"/>
    <m/>
    <m/>
    <s v="SO"/>
    <m/>
    <m/>
    <m/>
    <m/>
    <s v="ok"/>
    <m/>
    <n v="2160353.88"/>
    <n v="2160353.88"/>
    <n v="2160353.88"/>
    <n v="691584"/>
    <n v="1824.9777237132212"/>
    <n v="154310.99142857143"/>
    <n v="0"/>
    <m/>
    <n v="0"/>
    <n v="1285412"/>
    <n v="305730"/>
    <n v="979682"/>
    <n v="91815.142857142855"/>
    <m/>
    <n v="620464"/>
    <n v="70000"/>
    <n v="0.2872047981324245"/>
    <m/>
    <m/>
    <n v="1120"/>
    <n v="44318.857142857145"/>
    <n v="44318.857142857145"/>
    <n v="715424.22886499984"/>
    <n v="280000"/>
    <n v="64318.857142857145"/>
    <n v="259894.04"/>
    <n v="82882.717142857146"/>
    <n v="0.42157224193605547"/>
    <n v="123324.49695"/>
    <m/>
    <n v="253357.88"/>
    <m/>
    <n v="0"/>
    <n v="2160353.88"/>
    <n v="2160353.88"/>
    <m/>
    <m/>
    <n v="691584"/>
    <n v="0"/>
    <m/>
    <m/>
    <m/>
    <m/>
    <n v="0"/>
    <m/>
    <m/>
    <m/>
    <m/>
    <m/>
    <m/>
    <n v="0"/>
    <n v="-2160353.88"/>
  </r>
  <r>
    <s v="P'titCanal         LLTS"/>
    <x v="1"/>
    <x v="1"/>
    <x v="1"/>
    <s v="PRLC 0094"/>
    <m/>
    <m/>
    <x v="0"/>
    <m/>
    <m/>
    <s v="rétrocession voirie Mairie à faire / DA en attente validation par Commune_x000a_DOE transmis à commune"/>
    <m/>
    <m/>
    <m/>
    <m/>
    <m/>
    <m/>
    <m/>
    <m/>
    <m/>
    <m/>
    <m/>
    <m/>
    <m/>
    <e v="#DIV/0!"/>
    <m/>
    <m/>
    <m/>
    <x v="0"/>
    <n v="16"/>
    <n v="16"/>
    <m/>
    <n v="16"/>
    <m/>
    <m/>
    <n v="1252.9999999999998"/>
    <n v="1432.77"/>
    <n v="78.312499999999986"/>
    <n v="89.548124999999999"/>
    <n v="5.51"/>
    <n v="4.82"/>
    <n v="431"/>
    <m/>
    <m/>
    <m/>
    <m/>
    <m/>
    <m/>
    <m/>
    <m/>
    <n v="2.5"/>
    <s v="collectif"/>
    <s v="oui"/>
    <m/>
    <m/>
    <m/>
    <m/>
    <m/>
    <m/>
    <d v="2011-09-30T00:00:00"/>
    <m/>
    <d v="2011-03-30T00:00:00"/>
    <d v="2011-06-28T00:00:00"/>
    <d v="2015-10-14T00:00:00"/>
    <n v="3"/>
    <m/>
    <m/>
    <m/>
    <m/>
    <m/>
    <m/>
    <m/>
    <d v="2013-02-08T00:00:00"/>
    <d v="2015-02-08T00:00:00"/>
    <m/>
    <s v="non"/>
    <n v="11"/>
    <n v="78210"/>
    <n v="-78210"/>
    <m/>
    <m/>
    <m/>
    <s v="0"/>
    <m/>
    <m/>
    <s v="0"/>
    <m/>
    <m/>
    <s v="0"/>
    <m/>
    <m/>
    <s v="0"/>
    <m/>
    <m/>
    <s v="0"/>
    <m/>
    <m/>
    <m/>
    <m/>
    <s v="0"/>
    <m/>
    <x v="3"/>
    <x v="1"/>
    <n v="7.2666666666666666"/>
    <s v="0"/>
    <n v="13"/>
    <n v="24"/>
    <m/>
    <m/>
    <s v="0"/>
    <m/>
    <m/>
    <s v="0"/>
    <m/>
    <m/>
    <s v="0"/>
    <m/>
    <m/>
    <s v="0"/>
    <m/>
    <m/>
    <s v="0"/>
    <m/>
    <m/>
    <s v="0"/>
    <m/>
    <m/>
    <s v="0"/>
    <m/>
    <m/>
    <m/>
    <d v="2013-03-01T00:00:00"/>
    <d v="2014-02-18T00:00:00"/>
    <n v="11.8"/>
    <m/>
    <m/>
    <d v="2014-02-19T00:00:00"/>
    <s v="ok"/>
    <d v="2014-02-26T00:00:00"/>
    <m/>
    <d v="2013-04-01T00:00:00"/>
    <x v="3"/>
    <x v="1"/>
    <n v="11.033333333333333"/>
    <n v="7110"/>
    <n v="78447"/>
    <m/>
    <m/>
    <n v="0"/>
    <m/>
    <m/>
    <m/>
    <n v="0"/>
    <m/>
    <m/>
    <m/>
    <m/>
    <d v="1901-12-31T00:00:00"/>
    <m/>
    <m/>
    <m/>
    <m/>
    <d v="2014-05-28T00:00:00"/>
    <d v="2015-02-24T00:00:00"/>
    <d v="2015-02-18T00:00:00"/>
    <n v="35103.575989752957"/>
    <s v="ok"/>
    <m/>
    <m/>
    <d v="2014-10-07T00:00:00"/>
    <d v="2014-10-09T00:00:00"/>
    <m/>
    <s v="ok"/>
    <d v="2015-10-13T00:00:00"/>
    <m/>
    <m/>
    <m/>
    <s v="ok"/>
    <s v="ok"/>
    <m/>
    <n v="2817333"/>
    <n v="2817333"/>
    <n v="2817333"/>
    <n v="433682"/>
    <n v="1966.3539856362152"/>
    <n v="176083.3125"/>
    <n v="853424"/>
    <m/>
    <n v="53339"/>
    <n v="1530227"/>
    <n v="304961"/>
    <n v="1225266"/>
    <n v="95639.1875"/>
    <n v="0"/>
    <n v="380000"/>
    <m/>
    <n v="0.13487933446277028"/>
    <m/>
    <m/>
    <n v="53682"/>
    <n v="23750"/>
    <n v="77089"/>
    <n v="0"/>
    <n v="0"/>
    <e v="#REF!"/>
    <n v="0"/>
    <n v="77089"/>
    <n v="0.46171877778297693"/>
    <n v="145958"/>
    <m/>
    <n v="0"/>
    <m/>
    <n v="0"/>
    <n v="2817333"/>
    <n v="2817333"/>
    <m/>
    <m/>
    <n v="433682"/>
    <n v="0"/>
    <m/>
    <m/>
    <m/>
    <m/>
    <n v="0"/>
    <m/>
    <m/>
    <m/>
    <m/>
    <m/>
    <m/>
    <n v="0"/>
    <m/>
  </r>
  <r>
    <s v="P'titCanal  LLS       "/>
    <x v="1"/>
    <x v="1"/>
    <x v="1"/>
    <s v="PRLC 0094"/>
    <m/>
    <m/>
    <x v="0"/>
    <m/>
    <m/>
    <s v="rétrocession voirie Mairie à faire / DA en attente validation par Commune_x000a_DOE transmis à commune"/>
    <m/>
    <m/>
    <m/>
    <n v="8131"/>
    <n v="227747.25"/>
    <n v="178042"/>
    <e v="#REF!"/>
    <n v="28.009746648628706"/>
    <n v="21.896691673840856"/>
    <e v="#REF!"/>
    <e v="#REF!"/>
    <e v="#REF!"/>
    <n v="1079"/>
    <n v="4.9194441028163816"/>
    <s v="UC"/>
    <m/>
    <m/>
    <x v="1"/>
    <n v="4"/>
    <n v="4"/>
    <n v="4"/>
    <m/>
    <m/>
    <m/>
    <n v="276.40999999999997"/>
    <n v="317.76"/>
    <n v="69.102499999999992"/>
    <n v="79.44"/>
    <n v="7.15"/>
    <n v="6.22"/>
    <n v="494"/>
    <m/>
    <m/>
    <m/>
    <m/>
    <m/>
    <n v="2180"/>
    <n v="850"/>
    <n v="0.10453818718484811"/>
    <n v="2.5"/>
    <s v="collectif"/>
    <s v="oui"/>
    <m/>
    <m/>
    <m/>
    <m/>
    <m/>
    <m/>
    <d v="2011-09-30T00:00:00"/>
    <m/>
    <d v="2011-03-30T00:00:00"/>
    <d v="2011-07-06T00:00:00"/>
    <d v="2015-10-14T00:00:00"/>
    <n v="3.2666666666666666"/>
    <m/>
    <m/>
    <m/>
    <m/>
    <m/>
    <m/>
    <m/>
    <d v="2013-02-09T00:00:00"/>
    <d v="2015-02-09T00:00:00"/>
    <m/>
    <s v="non"/>
    <n v="11"/>
    <n v="22385"/>
    <n v="-22385"/>
    <m/>
    <m/>
    <m/>
    <s v="0"/>
    <m/>
    <m/>
    <s v="0"/>
    <m/>
    <m/>
    <s v="0"/>
    <m/>
    <m/>
    <s v="0"/>
    <m/>
    <m/>
    <s v="0"/>
    <m/>
    <m/>
    <m/>
    <m/>
    <s v="0"/>
    <m/>
    <x v="3"/>
    <x v="1"/>
    <n v="7"/>
    <s v="0"/>
    <n v="13"/>
    <n v="24"/>
    <m/>
    <m/>
    <s v="0"/>
    <m/>
    <m/>
    <s v="0"/>
    <m/>
    <m/>
    <s v="0"/>
    <m/>
    <m/>
    <s v="0"/>
    <m/>
    <m/>
    <s v="0"/>
    <m/>
    <m/>
    <s v="0"/>
    <m/>
    <m/>
    <s v="0"/>
    <m/>
    <m/>
    <m/>
    <d v="2013-03-01T00:00:00"/>
    <d v="2014-02-18T00:00:00"/>
    <n v="11.8"/>
    <m/>
    <m/>
    <d v="2014-02-19T00:00:00"/>
    <s v="ok"/>
    <d v="2014-02-26T00:00:00"/>
    <m/>
    <d v="2013-04-01T00:00:00"/>
    <x v="3"/>
    <x v="1"/>
    <n v="11.033333333333333"/>
    <n v="2035"/>
    <n v="22452.833333333332"/>
    <m/>
    <m/>
    <n v="0"/>
    <m/>
    <m/>
    <m/>
    <n v="0"/>
    <m/>
    <m/>
    <m/>
    <m/>
    <d v="1901-12-31T00:00:00"/>
    <m/>
    <m/>
    <m/>
    <m/>
    <d v="2014-05-28T00:00:00"/>
    <d v="2015-02-24T00:00:00"/>
    <d v="2015-02-18T00:00:00"/>
    <n v="7942.4140102470437"/>
    <s v="ok"/>
    <m/>
    <m/>
    <d v="2014-10-07T00:00:00"/>
    <d v="2014-10-09T00:00:00"/>
    <m/>
    <s v="ok"/>
    <d v="2015-10-13T00:00:00"/>
    <m/>
    <m/>
    <m/>
    <m/>
    <s v="ok"/>
    <m/>
    <n v="642137"/>
    <n v="642137"/>
    <n v="642137"/>
    <n v="131725"/>
    <n v="2020.8238922457201"/>
    <n v="160534.25"/>
    <n v="75000"/>
    <m/>
    <n v="18750"/>
    <n v="335412"/>
    <n v="85556"/>
    <n v="249856"/>
    <n v="83853"/>
    <n v="100000"/>
    <n v="119398"/>
    <m/>
    <n v="0.18593851467833189"/>
    <m/>
    <m/>
    <n v="12327"/>
    <n v="29849.5"/>
    <n v="48599.5"/>
    <n v="1087937.9071325003"/>
    <n v="400000"/>
    <e v="#REF!"/>
    <n v="474274.71"/>
    <n v="267168.17749999999"/>
    <n v="0.62937481320481981"/>
    <n v="32084"/>
    <m/>
    <n v="0"/>
    <m/>
    <n v="0"/>
    <n v="642137"/>
    <n v="642137"/>
    <m/>
    <m/>
    <n v="131725"/>
    <n v="0"/>
    <m/>
    <m/>
    <m/>
    <m/>
    <n v="0"/>
    <m/>
    <m/>
    <m/>
    <m/>
    <m/>
    <m/>
    <n v="0"/>
    <m/>
  </r>
  <r>
    <s v="VEFA  Les Rosiers  LLS"/>
    <x v="2"/>
    <x v="2"/>
    <x v="1"/>
    <s v="PRLC 0124"/>
    <m/>
    <m/>
    <x v="0"/>
    <m/>
    <m/>
    <m/>
    <m/>
    <m/>
    <m/>
    <n v="5169"/>
    <n v="830607"/>
    <n v="830607"/>
    <n v="11698.69014084507"/>
    <n v="160.69007544979686"/>
    <n v="160.69007544979686"/>
    <n v="135.34700914309738"/>
    <n v="11698.69014084507"/>
    <n v="72.802816901408448"/>
    <m/>
    <n v="98.665118978525825"/>
    <s v="UB"/>
    <m/>
    <m/>
    <x v="1"/>
    <n v="51"/>
    <n v="51"/>
    <n v="51"/>
    <m/>
    <m/>
    <m/>
    <n v="4165.7300000000005"/>
    <n v="4837.3599999999997"/>
    <n v="81.680980392156869"/>
    <n v="94.850196078431367"/>
    <n v="6.89"/>
    <n v="5.93"/>
    <n v="562.6"/>
    <m/>
    <m/>
    <m/>
    <m/>
    <m/>
    <n v="900"/>
    <n v="0"/>
    <n v="0"/>
    <m/>
    <s v="collectif"/>
    <s v="oui"/>
    <n v="8947368.421052631"/>
    <n v="2147.8512580154329"/>
    <n v="1849.6387329147783"/>
    <n v="175438.59649122806"/>
    <m/>
    <m/>
    <d v="2011-09-30T00:00:00"/>
    <m/>
    <d v="2011-03-30T00:00:00"/>
    <d v="2011-06-28T00:00:00"/>
    <d v="2015-11-09T00:00:00"/>
    <n v="3"/>
    <m/>
    <m/>
    <m/>
    <m/>
    <m/>
    <m/>
    <m/>
    <d v="2013-02-06T00:00:00"/>
    <d v="2015-02-06T00:00:00"/>
    <m/>
    <s v="non"/>
    <n v="11"/>
    <n v="336248"/>
    <n v="-336248"/>
    <m/>
    <m/>
    <m/>
    <s v="0"/>
    <m/>
    <m/>
    <s v="0"/>
    <m/>
    <m/>
    <s v="0"/>
    <m/>
    <m/>
    <s v="0"/>
    <m/>
    <m/>
    <s v="0"/>
    <m/>
    <m/>
    <m/>
    <m/>
    <s v="0"/>
    <m/>
    <x v="4"/>
    <x v="0"/>
    <n v="5.8666666666666663"/>
    <s v="0"/>
    <n v="22"/>
    <n v="22"/>
    <m/>
    <m/>
    <s v="0"/>
    <m/>
    <m/>
    <s v="0"/>
    <m/>
    <m/>
    <s v="0"/>
    <m/>
    <m/>
    <s v="0"/>
    <m/>
    <m/>
    <s v="0"/>
    <m/>
    <m/>
    <s v="0"/>
    <m/>
    <m/>
    <s v="0"/>
    <m/>
    <m/>
    <m/>
    <d v="2013-10-21T00:00:00"/>
    <d v="2013-10-21T00:00:00"/>
    <n v="0"/>
    <m/>
    <m/>
    <d v="2013-12-03T00:00:00"/>
    <s v="ok"/>
    <d v="2014-02-13T00:00:00"/>
    <m/>
    <d v="2013-11-21T00:00:00"/>
    <x v="4"/>
    <x v="1"/>
    <n v="2.8"/>
    <n v="30568"/>
    <n v="85590.399999999994"/>
    <m/>
    <m/>
    <n v="0"/>
    <m/>
    <m/>
    <m/>
    <n v="0"/>
    <m/>
    <m/>
    <m/>
    <m/>
    <d v="1901-12-31T00:00:00"/>
    <m/>
    <m/>
    <m/>
    <m/>
    <m/>
    <m/>
    <d v="2014-10-21T00:00:00"/>
    <n v="0"/>
    <s v="14/10/14 DPR"/>
    <s v="ok"/>
    <m/>
    <m/>
    <m/>
    <m/>
    <m/>
    <d v="2015-04-27T00:00:00"/>
    <m/>
    <m/>
    <m/>
    <m/>
    <s v="ok"/>
    <m/>
    <n v="9522775"/>
    <n v="9522775"/>
    <n v="9522775"/>
    <n v="300000"/>
    <n v="1968.5892718342238"/>
    <n v="186721.07843137256"/>
    <n v="2932668"/>
    <m/>
    <n v="57503.294117647056"/>
    <n v="6290107"/>
    <n v="1887032"/>
    <n v="4403075"/>
    <n v="123335.43137254902"/>
    <n v="0"/>
    <n v="300000"/>
    <m/>
    <n v="3.150342205922118E-2"/>
    <m/>
    <m/>
    <n v="0"/>
    <n v="5882.3529411764703"/>
    <n v="63385.647058823532"/>
    <n v="0"/>
    <n v="0"/>
    <e v="#REF!"/>
    <n v="0"/>
    <n v="63385.647058823532"/>
    <n v="0.33946701460446144"/>
    <m/>
    <m/>
    <n v="0"/>
    <m/>
    <n v="0"/>
    <n v="9522775"/>
    <n v="9522775"/>
    <m/>
    <m/>
    <n v="300000"/>
    <n v="0"/>
    <m/>
    <m/>
    <m/>
    <m/>
    <n v="0"/>
    <m/>
    <m/>
    <m/>
    <m/>
    <m/>
    <m/>
    <n v="0"/>
    <m/>
  </r>
  <r>
    <s v="VEFA  Les Rosiers LLTS"/>
    <x v="2"/>
    <x v="2"/>
    <x v="1"/>
    <s v="PRLC 0124"/>
    <m/>
    <m/>
    <x v="0"/>
    <m/>
    <m/>
    <m/>
    <m/>
    <m/>
    <m/>
    <m/>
    <m/>
    <m/>
    <m/>
    <m/>
    <m/>
    <m/>
    <m/>
    <m/>
    <m/>
    <e v="#DIV/0!"/>
    <s v="UB"/>
    <m/>
    <m/>
    <x v="0"/>
    <n v="6"/>
    <n v="6"/>
    <m/>
    <n v="6"/>
    <m/>
    <m/>
    <n v="391.83999999999992"/>
    <n v="470.86"/>
    <n v="65.306666666666658"/>
    <n v="78.476666666666674"/>
    <n v="6"/>
    <n v="4.99"/>
    <n v="391.52"/>
    <m/>
    <m/>
    <m/>
    <m/>
    <m/>
    <m/>
    <n v="0"/>
    <e v="#DIV/0!"/>
    <m/>
    <s v="collectif"/>
    <s v="oui"/>
    <n v="1052631.5789473683"/>
    <n v="2686.3811222625777"/>
    <n v="2235.5510745176239"/>
    <n v="175438.59649122806"/>
    <m/>
    <m/>
    <d v="2011-09-30T00:00:00"/>
    <m/>
    <d v="2011-03-30T00:00:00"/>
    <d v="2011-07-06T00:00:00"/>
    <d v="2015-11-09T00:00:00"/>
    <n v="3.2666666666666666"/>
    <m/>
    <m/>
    <m/>
    <m/>
    <m/>
    <m/>
    <m/>
    <d v="2013-02-07T00:00:00"/>
    <d v="2015-02-07T00:00:00"/>
    <m/>
    <s v="non"/>
    <n v="11"/>
    <n v="27522"/>
    <n v="-27522"/>
    <m/>
    <m/>
    <m/>
    <s v="0"/>
    <m/>
    <m/>
    <s v="0"/>
    <m/>
    <m/>
    <s v="0"/>
    <m/>
    <m/>
    <s v="0"/>
    <m/>
    <m/>
    <s v="0"/>
    <m/>
    <m/>
    <m/>
    <m/>
    <s v="0"/>
    <m/>
    <x v="4"/>
    <x v="0"/>
    <n v="5.6"/>
    <s v="0"/>
    <n v="22"/>
    <n v="22"/>
    <m/>
    <m/>
    <s v="0"/>
    <m/>
    <m/>
    <s v="0"/>
    <m/>
    <m/>
    <s v="0"/>
    <m/>
    <m/>
    <s v="0"/>
    <m/>
    <m/>
    <s v="0"/>
    <m/>
    <m/>
    <s v="0"/>
    <m/>
    <m/>
    <s v="0"/>
    <m/>
    <m/>
    <m/>
    <d v="2013-10-21T00:00:00"/>
    <d v="2013-10-21T00:00:00"/>
    <n v="0"/>
    <m/>
    <m/>
    <d v="2013-12-03T00:00:00"/>
    <s v="ok"/>
    <d v="2014-02-13T00:00:00"/>
    <m/>
    <d v="2013-11-21T00:00:00"/>
    <x v="4"/>
    <x v="1"/>
    <n v="2.8"/>
    <n v="2502"/>
    <n v="7005.5999999999995"/>
    <m/>
    <m/>
    <n v="0"/>
    <m/>
    <m/>
    <m/>
    <n v="0"/>
    <m/>
    <m/>
    <m/>
    <m/>
    <d v="1901-12-31T00:00:00"/>
    <m/>
    <m/>
    <m/>
    <m/>
    <m/>
    <m/>
    <d v="2014-10-21T00:00:00"/>
    <n v="0"/>
    <s v="14/10/14 DPR"/>
    <s v="ok"/>
    <m/>
    <m/>
    <m/>
    <m/>
    <m/>
    <d v="2015-04-27T00:00:00"/>
    <m/>
    <m/>
    <m/>
    <m/>
    <s v="ok"/>
    <m/>
    <n v="926283"/>
    <n v="926283"/>
    <n v="926283"/>
    <n v="100000"/>
    <n v="1967.2153081595377"/>
    <n v="154380.5"/>
    <n v="340124"/>
    <m/>
    <n v="56687.333333333336"/>
    <n v="486159"/>
    <n v="145848"/>
    <n v="340311"/>
    <n v="81026.5"/>
    <n v="0"/>
    <n v="100000"/>
    <m/>
    <n v="0.10795836693537504"/>
    <m/>
    <m/>
    <n v="0"/>
    <n v="16666.666666666668"/>
    <n v="73354"/>
    <n v="0"/>
    <n v="0"/>
    <e v="#REF!"/>
    <n v="0"/>
    <n v="73354"/>
    <n v="0.47515068289065004"/>
    <m/>
    <m/>
    <n v="0"/>
    <m/>
    <n v="0"/>
    <n v="926283"/>
    <n v="926283"/>
    <m/>
    <m/>
    <n v="100000"/>
    <n v="0"/>
    <m/>
    <m/>
    <m/>
    <m/>
    <n v="0"/>
    <m/>
    <m/>
    <m/>
    <m/>
    <m/>
    <m/>
    <n v="0"/>
    <m/>
  </r>
  <r>
    <s v="VEFA Les Pechers "/>
    <x v="2"/>
    <x v="2"/>
    <x v="1"/>
    <s v="PRLC 0105"/>
    <s v="FMA"/>
    <s v="SRI"/>
    <x v="0"/>
    <m/>
    <m/>
    <m/>
    <m/>
    <m/>
    <m/>
    <n v="3280"/>
    <n v="700000"/>
    <n v="700000"/>
    <n v="35000"/>
    <n v="213.41463414634146"/>
    <n v="213.41463414634146"/>
    <n v="409.99209300963486"/>
    <n v="35000"/>
    <n v="164"/>
    <m/>
    <n v="60.975609756097562"/>
    <s v="UC"/>
    <m/>
    <m/>
    <x v="1"/>
    <n v="20"/>
    <n v="20"/>
    <n v="20"/>
    <m/>
    <m/>
    <m/>
    <n v="1707.35"/>
    <n v="1707.35"/>
    <n v="85.367499999999993"/>
    <n v="85.367499999999993"/>
    <n v="6.1"/>
    <n v="6.1"/>
    <n v="520.52"/>
    <n v="0"/>
    <n v="0"/>
    <n v="0.1"/>
    <n v="0.9"/>
    <n v="0"/>
    <n v="461.7"/>
    <m/>
    <n v="0"/>
    <n v="2"/>
    <s v="collectif"/>
    <s v="non"/>
    <n v="3506440.94"/>
    <n v="2053.7329428646735"/>
    <n v="2053.7329428646735"/>
    <n v="175322.04699999999"/>
    <m/>
    <m/>
    <d v="2011-09-30T00:00:00"/>
    <m/>
    <d v="2011-03-30T00:00:00"/>
    <d v="2011-06-28T00:00:00"/>
    <m/>
    <n v="3"/>
    <m/>
    <m/>
    <m/>
    <m/>
    <m/>
    <m/>
    <m/>
    <d v="2013-02-05T00:00:00"/>
    <d v="2015-02-05T00:00:00"/>
    <m/>
    <s v="non"/>
    <n v="16"/>
    <n v="169056"/>
    <n v="-169056"/>
    <m/>
    <m/>
    <m/>
    <s v="0"/>
    <m/>
    <m/>
    <s v="0"/>
    <m/>
    <m/>
    <s v="0"/>
    <m/>
    <m/>
    <s v="0"/>
    <m/>
    <m/>
    <s v="0"/>
    <m/>
    <m/>
    <m/>
    <m/>
    <s v="0"/>
    <m/>
    <x v="5"/>
    <x v="0"/>
    <n v="5.9"/>
    <s v="0"/>
    <n v="15"/>
    <n v="19"/>
    <m/>
    <m/>
    <s v="0"/>
    <m/>
    <m/>
    <s v="0"/>
    <m/>
    <m/>
    <s v="0"/>
    <m/>
    <m/>
    <s v="0"/>
    <m/>
    <m/>
    <s v="0"/>
    <m/>
    <m/>
    <s v="0"/>
    <m/>
    <m/>
    <s v="0"/>
    <m/>
    <m/>
    <m/>
    <d v="2013-03-22T00:00:00"/>
    <d v="2013-08-14T00:00:00"/>
    <n v="4.833333333333333"/>
    <m/>
    <m/>
    <d v="2013-06-04T00:00:00"/>
    <s v="ok"/>
    <d v="2013-08-22T00:00:00"/>
    <m/>
    <d v="2013-04-22T00:00:00"/>
    <x v="5"/>
    <x v="0"/>
    <n v="4.7666666666666666"/>
    <n v="10566"/>
    <n v="50364.6"/>
    <m/>
    <m/>
    <n v="0"/>
    <m/>
    <m/>
    <m/>
    <n v="0"/>
    <m/>
    <m/>
    <m/>
    <m/>
    <d v="1901-12-31T00:00:00"/>
    <m/>
    <m/>
    <m/>
    <m/>
    <m/>
    <m/>
    <d v="2014-08-14T00:00:00"/>
    <n v="0"/>
    <s v="13/10/14 DPR"/>
    <s v="ok"/>
    <m/>
    <s v="ok"/>
    <d v="2014-10-20T00:00:00"/>
    <m/>
    <s v="ok"/>
    <d v="2015-06-23T00:00:00"/>
    <m/>
    <m/>
    <m/>
    <s v="ok"/>
    <s v="ok"/>
    <m/>
    <n v="3732556"/>
    <n v="3732556"/>
    <n v="3732556"/>
    <n v="355000"/>
    <n v="2186.1692095938151"/>
    <n v="186627.8"/>
    <n v="1090090"/>
    <m/>
    <n v="54504.5"/>
    <n v="2287466"/>
    <n v="616923"/>
    <n v="1670543"/>
    <n v="114373.3"/>
    <n v="0"/>
    <n v="355000"/>
    <m/>
    <n v="9.5109088785272078E-2"/>
    <m/>
    <m/>
    <n v="0"/>
    <n v="17750"/>
    <n v="72254.5"/>
    <n v="0"/>
    <n v="0"/>
    <e v="#REF!"/>
    <n v="0"/>
    <n v="72254.5"/>
    <n v="0.38715829045833472"/>
    <m/>
    <m/>
    <n v="0"/>
    <m/>
    <n v="0"/>
    <n v="3732556"/>
    <n v="3732556"/>
    <m/>
    <m/>
    <n v="355000"/>
    <n v="0"/>
    <m/>
    <m/>
    <m/>
    <m/>
    <n v="0"/>
    <m/>
    <m/>
    <m/>
    <m/>
    <m/>
    <m/>
    <n v="0"/>
    <m/>
  </r>
  <r>
    <s v="VEFA Oiseaux du Paradis "/>
    <x v="3"/>
    <x v="0"/>
    <x v="1"/>
    <s v="PRLC 0123"/>
    <s v="NBL"/>
    <m/>
    <x v="0"/>
    <m/>
    <m/>
    <m/>
    <m/>
    <m/>
    <m/>
    <n v="4531"/>
    <n v="799078"/>
    <n v="799078"/>
    <n v="34742.521739130432"/>
    <n v="176.35797837122047"/>
    <n v="176.35797837122047"/>
    <n v="416.95086825847386"/>
    <n v="34742.521739130432"/>
    <n v="197"/>
    <m/>
    <n v="50.761421319796952"/>
    <s v="U3"/>
    <m/>
    <m/>
    <x v="1"/>
    <n v="23"/>
    <n v="23"/>
    <n v="23"/>
    <m/>
    <m/>
    <m/>
    <n v="1916.48"/>
    <n v="1916.48"/>
    <n v="83.325217391304349"/>
    <n v="83.325217391304349"/>
    <n v="6.14"/>
    <n v="6.14"/>
    <n v="511.38"/>
    <m/>
    <m/>
    <m/>
    <m/>
    <m/>
    <m/>
    <m/>
    <n v="0"/>
    <n v="2.5"/>
    <s v="collectif"/>
    <s v="non"/>
    <n v="3772000"/>
    <n v="1968.1916847553848"/>
    <n v="1968.1916847553848"/>
    <n v="164000"/>
    <m/>
    <m/>
    <d v="2011-09-30T00:00:00"/>
    <m/>
    <d v="2011-03-30T00:00:00"/>
    <d v="2011-07-06T00:00:00"/>
    <m/>
    <n v="3.2666666666666666"/>
    <m/>
    <m/>
    <m/>
    <m/>
    <m/>
    <m/>
    <m/>
    <d v="2013-02-04T00:00:00"/>
    <d v="2015-02-04T00:00:00"/>
    <m/>
    <s v="non"/>
    <n v="18"/>
    <n v="218088"/>
    <n v="-218088"/>
    <m/>
    <m/>
    <m/>
    <s v="0"/>
    <m/>
    <m/>
    <s v="0"/>
    <m/>
    <m/>
    <s v="0"/>
    <m/>
    <m/>
    <s v="0"/>
    <m/>
    <m/>
    <s v="0"/>
    <m/>
    <m/>
    <m/>
    <m/>
    <s v="0"/>
    <m/>
    <x v="4"/>
    <x v="0"/>
    <n v="5.6"/>
    <s v="0"/>
    <n v="16"/>
    <n v="18"/>
    <m/>
    <m/>
    <s v="0"/>
    <m/>
    <m/>
    <s v="0"/>
    <m/>
    <m/>
    <s v="0"/>
    <m/>
    <m/>
    <s v="0"/>
    <m/>
    <m/>
    <s v="0"/>
    <m/>
    <m/>
    <s v="0"/>
    <m/>
    <m/>
    <s v="0"/>
    <m/>
    <m/>
    <m/>
    <d v="2013-04-21T00:00:00"/>
    <d v="2013-07-18T00:00:00"/>
    <n v="2.9333333333333331"/>
    <m/>
    <m/>
    <d v="2013-07-15T00:00:00"/>
    <s v="ok"/>
    <d v="2013-07-31T00:00:00"/>
    <m/>
    <d v="2013-05-21T00:00:00"/>
    <x v="6"/>
    <x v="0"/>
    <n v="2.3666666666666667"/>
    <n v="12116"/>
    <n v="28674.533333333333"/>
    <m/>
    <m/>
    <n v="0"/>
    <m/>
    <m/>
    <m/>
    <n v="0"/>
    <m/>
    <m/>
    <m/>
    <m/>
    <d v="1901-12-31T00:00:00"/>
    <m/>
    <m/>
    <m/>
    <m/>
    <m/>
    <s v="ok"/>
    <d v="2014-07-18T00:00:00"/>
    <n v="0"/>
    <s v="ok"/>
    <m/>
    <m/>
    <m/>
    <s v="25/09/2014 : à détailler plus"/>
    <m/>
    <s v="ok"/>
    <d v="2016-10-21T00:00:00"/>
    <m/>
    <m/>
    <m/>
    <s v="ok"/>
    <s v="ok"/>
    <m/>
    <n v="4024614"/>
    <n v="4024614"/>
    <n v="4024614"/>
    <n v="239587"/>
    <n v="2100.0031307396894"/>
    <n v="174983.21739130435"/>
    <n v="1191366"/>
    <m/>
    <n v="51798.521739130432"/>
    <n v="2593661"/>
    <n v="592565"/>
    <n v="2001096"/>
    <n v="112767.86956521739"/>
    <n v="0"/>
    <n v="239587"/>
    <m/>
    <n v="5.9530429502059078E-2"/>
    <m/>
    <m/>
    <n v="0"/>
    <n v="10416.826086956522"/>
    <n v="62215.34782608696"/>
    <n v="0"/>
    <n v="0"/>
    <e v="#REF!"/>
    <n v="0"/>
    <n v="62215.34782608696"/>
    <n v="0.3555503707933233"/>
    <m/>
    <m/>
    <n v="0"/>
    <m/>
    <n v="0"/>
    <n v="4024614"/>
    <n v="4024614"/>
    <m/>
    <m/>
    <n v="239587"/>
    <n v="0"/>
    <m/>
    <n v="891462.21"/>
    <n v="867000"/>
    <n v="362316.63"/>
    <n v="1849289.49"/>
    <n v="610988.42000000004"/>
    <n v="215846.06999999998"/>
    <n v="130000"/>
    <n v="483870"/>
    <n v="408585"/>
    <n v="802665"/>
    <n v="3905733.33"/>
    <m/>
  </r>
  <r>
    <s v="100 Marches"/>
    <x v="4"/>
    <x v="2"/>
    <x v="2"/>
    <m/>
    <s v="JER"/>
    <s v="DBA"/>
    <x v="1"/>
    <m/>
    <s v="BR 617"/>
    <s v="manque beaucoup de justificatifs_x000a_acte sur BR 570 / 571 qui n'existent plus_x000a_récupérer fiche immeuble"/>
    <s v="SODEGIS"/>
    <s v="Esparon"/>
    <d v="1995-06-01T00:00:00"/>
    <m/>
    <m/>
    <m/>
    <m/>
    <m/>
    <m/>
    <m/>
    <m/>
    <m/>
    <m/>
    <e v="#DIV/0!"/>
    <m/>
    <m/>
    <m/>
    <x v="2"/>
    <n v="10"/>
    <n v="0"/>
    <m/>
    <m/>
    <m/>
    <n v="10"/>
    <m/>
    <m/>
    <n v="0"/>
    <n v="0"/>
    <m/>
    <m/>
    <m/>
    <m/>
    <m/>
    <m/>
    <m/>
    <m/>
    <m/>
    <m/>
    <m/>
    <m/>
    <m/>
    <m/>
    <m/>
    <m/>
    <m/>
    <m/>
    <m/>
    <m/>
    <m/>
    <m/>
    <d v="2017-03-30T00:00:00"/>
    <d v="2017-09-27T00:00:00"/>
    <m/>
    <n v="6.0333333333333332"/>
    <m/>
    <d v="2017-12-12T00:00:00"/>
    <d v="2018-05-15T00:00:00"/>
    <n v="5.1333333333333337"/>
    <n v="78082"/>
    <d v="2018-08-15T00:00:00"/>
    <m/>
    <d v="2018-09-01T00:00:00"/>
    <d v="2020-09-01T00:00:00"/>
    <m/>
    <m/>
    <m/>
    <m/>
    <m/>
    <d v="2017-02-07T00:00:00"/>
    <m/>
    <m/>
    <s v="0"/>
    <d v="2017-05-19T00:00:00"/>
    <d v="2017-05-24T00:00:00"/>
    <n v="5"/>
    <d v="2017-05-22T00:00:00"/>
    <d v="2017-04-28T00:00:00"/>
    <n v="-24"/>
    <d v="2017-05-24T00:00:00"/>
    <d v="2020-04-29T00:00:00"/>
    <n v="1071"/>
    <d v="2017-08-15T00:00:00"/>
    <d v="2020-04-29T00:00:00"/>
    <n v="988"/>
    <m/>
    <d v="2018-05-29T00:00:00"/>
    <d v="2017-11-06T00:00:00"/>
    <d v="2020-04-29T00:00:00"/>
    <n v="905"/>
    <d v="2017-11-10T00:00:00"/>
    <x v="6"/>
    <x v="2"/>
    <n v="11.9"/>
    <n v="313"/>
    <n v="12"/>
    <n v="8"/>
    <m/>
    <d v="2020-04-29T00:00:00"/>
    <s v="0"/>
    <m/>
    <d v="2020-04-29T00:00:00"/>
    <s v="0"/>
    <m/>
    <d v="2020-04-29T00:00:00"/>
    <s v="0"/>
    <d v="2019-02-03T00:00:00"/>
    <d v="2020-04-29T00:00:00"/>
    <n v="451"/>
    <m/>
    <m/>
    <s v="0"/>
    <m/>
    <d v="2020-04-29T00:00:00"/>
    <s v="0"/>
    <d v="2019-04-21T00:00:00"/>
    <d v="2020-04-29T00:00:00"/>
    <n v="374"/>
    <m/>
    <m/>
    <m/>
    <d v="2019-09-19T00:00:00"/>
    <d v="2019-06-05T00:00:00"/>
    <n v="-3.5333333333333332"/>
    <n v="0"/>
    <m/>
    <m/>
    <m/>
    <m/>
    <m/>
    <d v="2019-10-19T00:00:00"/>
    <x v="7"/>
    <x v="2"/>
    <n v="-3.5333333333333332"/>
    <m/>
    <n v="0"/>
    <m/>
    <n v="0"/>
    <n v="35542.79"/>
    <n v="17638"/>
    <n v="14427"/>
    <m/>
    <n v="0"/>
    <m/>
    <m/>
    <s v="1 MOIS = GILETS JAUNES_x000a_2 MOIS = MARGE DE SECURITE"/>
    <s v="tvx complémentaires - dates à caler fin sept"/>
    <d v="2022-04-29T00:00:00"/>
    <m/>
    <m/>
    <m/>
    <m/>
    <m/>
    <m/>
    <d v="2020-06-05T00:00:00"/>
    <m/>
    <m/>
    <m/>
    <m/>
    <m/>
    <m/>
    <m/>
    <m/>
    <m/>
    <m/>
    <m/>
    <m/>
    <m/>
    <m/>
    <m/>
    <n v="347036"/>
    <n v="347036"/>
    <m/>
    <n v="19880"/>
    <e v="#DIV/0!"/>
    <n v="34703.599999999999"/>
    <m/>
    <m/>
    <e v="#REF!"/>
    <n v="177156"/>
    <m/>
    <m/>
    <n v="17715.599999999999"/>
    <n v="150000"/>
    <n v="18200"/>
    <m/>
    <n v="5.2444126834103669E-2"/>
    <m/>
    <m/>
    <n v="1680"/>
    <n v="1820"/>
    <n v="1820"/>
    <m/>
    <m/>
    <e v="#REF!"/>
    <m/>
    <n v="1820"/>
    <e v="#REF!"/>
    <m/>
    <m/>
    <m/>
    <n v="49386.413229999991"/>
    <n v="0.14230919336898762"/>
    <n v="297649.58676999999"/>
    <n v="297649.58676999999"/>
    <n v="1"/>
    <m/>
    <n v="19880"/>
    <n v="0"/>
    <m/>
    <m/>
    <m/>
    <m/>
    <n v="0"/>
    <m/>
    <m/>
    <m/>
    <m/>
    <m/>
    <m/>
    <n v="0"/>
    <m/>
  </r>
  <r>
    <s v="Christiane - Amata (HE 168) LLS"/>
    <x v="5"/>
    <x v="0"/>
    <x v="3"/>
    <s v="PRLC 0129"/>
    <s v="MHO"/>
    <m/>
    <x v="2"/>
    <m/>
    <m/>
    <s v="servitude PERRAU à mettre en place_x000a_rétrocession zone N à faire"/>
    <s v="EPFR"/>
    <m/>
    <m/>
    <n v="10371.413793103447"/>
    <n v="468089.65517241386"/>
    <n v="468089.65517241386"/>
    <n v="10175.862068965518"/>
    <n v="45.13267569014301"/>
    <n v="45.13267569014301"/>
    <n v="115.98823370433713"/>
    <n v="10175.862068965518"/>
    <n v="225.4655172413793"/>
    <m/>
    <n v="44.352680278351308"/>
    <s v="UC 2"/>
    <n v="280"/>
    <n v="0.25"/>
    <x v="1"/>
    <n v="46"/>
    <n v="46"/>
    <n v="46"/>
    <m/>
    <m/>
    <m/>
    <n v="3586.65"/>
    <n v="4035.6650000000013"/>
    <n v="77.970652173913052"/>
    <n v="87.731847826086991"/>
    <n v="7.21"/>
    <n v="6.41"/>
    <n v="562"/>
    <m/>
    <m/>
    <n v="0.78260869565217395"/>
    <n v="0.21739130434782608"/>
    <m/>
    <m/>
    <m/>
    <m/>
    <n v="2"/>
    <s v="collectif"/>
    <s v="oui"/>
    <m/>
    <m/>
    <m/>
    <m/>
    <d v="2014-10-09T00:00:00"/>
    <m/>
    <m/>
    <m/>
    <d v="2015-03-30T00:00:00"/>
    <d v="2015-10-27T00:00:00"/>
    <d v="2015-11-27T00:00:00"/>
    <n v="7.0333333333333332"/>
    <m/>
    <d v="2016-09-01T00:00:00"/>
    <d v="2016-09-07T00:00:00"/>
    <n v="0.2"/>
    <n v="54047"/>
    <d v="2016-12-07T00:00:00"/>
    <m/>
    <d v="2017-01-01T00:00:00"/>
    <d v="2019-01-01T00:00:00"/>
    <n v="170249"/>
    <s v="oui"/>
    <n v="-1.6333333333333333"/>
    <s v="0"/>
    <n v="170249"/>
    <m/>
    <m/>
    <m/>
    <s v="0"/>
    <m/>
    <m/>
    <s v="0"/>
    <m/>
    <m/>
    <s v="0"/>
    <m/>
    <m/>
    <s v="0"/>
    <m/>
    <m/>
    <s v="0"/>
    <m/>
    <m/>
    <m/>
    <m/>
    <m/>
    <m/>
    <x v="7"/>
    <x v="3"/>
    <n v="15.933333333333334"/>
    <s v="0"/>
    <n v="18"/>
    <n v="23"/>
    <d v="2017-06-23T00:00:00"/>
    <d v="2017-06-23T00:00:00"/>
    <n v="0"/>
    <d v="2017-07-26T00:00:00"/>
    <d v="2018-03-01T00:00:00"/>
    <n v="218"/>
    <d v="2017-11-07T00:00:00"/>
    <d v="2018-06-08T00:00:00"/>
    <n v="213"/>
    <d v="2018-02-02T00:00:00"/>
    <d v="2018-06-27T00:00:00"/>
    <n v="145"/>
    <d v="2018-03-23T00:00:00"/>
    <d v="2018-07-09T00:00:00"/>
    <n v="108"/>
    <d v="2018-04-24T00:00:00"/>
    <d v="2018-11-08T00:00:00"/>
    <n v="198"/>
    <d v="2018-09-03T00:00:00"/>
    <d v="2020-04-29T00:00:00"/>
    <n v="604"/>
    <m/>
    <m/>
    <m/>
    <d v="2018-08-16T00:00:00"/>
    <d v="2019-02-07T00:00:00"/>
    <n v="5.833333333333333"/>
    <n v="0"/>
    <d v="2020-03-01T00:00:00"/>
    <d v="2019-02-26T00:00:00"/>
    <d v="2017-06-01T00:00:00"/>
    <d v="2019-02-08T00:00:00"/>
    <m/>
    <d v="2018-08-31T00:00:00"/>
    <x v="8"/>
    <x v="2"/>
    <n v="5.7333333333333334"/>
    <n v="26633.333333333332"/>
    <n v="152697.77777777778"/>
    <m/>
    <n v="0"/>
    <n v="0"/>
    <n v="491714.43721999996"/>
    <n v="345197.8408103516"/>
    <n v="77194.093559999994"/>
    <n v="9.1700933674838531E-3"/>
    <s v="SFE / APU"/>
    <s v="Lot cloisons_x000a_Lot carrelage_x000a_Lot peinture / sols souples"/>
    <s v="33 j dont 15 prévus au CCAP = intempéries _x000a_1 MOIS = coactivité collège / école_x000a_3 MOIS = 4 résiliations_x000a_1 MOIS = GILETS JAUNES_x000a_1 MOIS = 2é période de congés BTP non prévue_x000a_3 SEMAINES = réception EDF_x000a_"/>
    <s v="aléa mouvement de terrain grevant la parcelle après maîtrise foncière, à lever auprès du BRGM _x000a_sécurisation du site proximité école_x000a_"/>
    <d v="2020-03-01T00:00:00"/>
    <d v="2019-02-15T00:00:00"/>
    <d v="2019-05-06T00:00:00"/>
    <m/>
    <s v="ok"/>
    <s v="réserves PMR"/>
    <s v="envoyé "/>
    <d v="2020-02-07T00:00:00"/>
    <m/>
    <d v="2019-04-08T00:00:00"/>
    <d v="2019-04-08T00:00:00"/>
    <m/>
    <m/>
    <m/>
    <m/>
    <m/>
    <s v="envoi INGEPAR 23/01/20"/>
    <m/>
    <d v="2019-11-22T00:00:00"/>
    <m/>
    <m/>
    <m/>
    <m/>
    <n v="8418027"/>
    <n v="8418027"/>
    <n v="8418027"/>
    <n v="489468"/>
    <n v="2085.9082703841864"/>
    <n v="183000.58695652173"/>
    <n v="2642685"/>
    <m/>
    <n v="57449.67391304348"/>
    <n v="5285874"/>
    <n v="1258166"/>
    <n v="4027708"/>
    <n v="114910.30434782608"/>
    <m/>
    <n v="406000"/>
    <m/>
    <n v="4.8229828676006857E-2"/>
    <m/>
    <m/>
    <n v="83468"/>
    <n v="8826.0869565217399"/>
    <n v="66275.760869565216"/>
    <m/>
    <m/>
    <n v="66275.760869565216"/>
    <m/>
    <n v="66275.760869565216"/>
    <n v="0.36216146610126104"/>
    <m/>
    <m/>
    <n v="0"/>
    <n v="6980817.6599099981"/>
    <n v="0.82927004865985798"/>
    <n v="1437209.3400900019"/>
    <n v="1437209.3400900019"/>
    <n v="1"/>
    <n v="66875"/>
    <n v="807025"/>
    <n v="7.6524774001602014E-2"/>
    <m/>
    <m/>
    <m/>
    <m/>
    <n v="0"/>
    <m/>
    <m/>
    <m/>
    <m/>
    <m/>
    <m/>
    <n v="0"/>
    <m/>
  </r>
  <r>
    <s v="Anne Caze (Plaine St Paul)"/>
    <x v="6"/>
    <x v="1"/>
    <x v="3"/>
    <s v="PRLC 0167"/>
    <s v="BBL"/>
    <s v="DBE"/>
    <x v="0"/>
    <m/>
    <m/>
    <s v="acte signé"/>
    <s v="EPFR / RUET"/>
    <s v="BARET/GILLOT"/>
    <m/>
    <n v="1767"/>
    <n v="210000"/>
    <n v="210000"/>
    <n v="11666.666666666666"/>
    <n v="118.84550084889644"/>
    <n v="118.84550084889644"/>
    <n v="122.89973137630142"/>
    <n v="11666.666666666666"/>
    <n v="98.166666666666671"/>
    <m/>
    <n v="101.86757215619694"/>
    <s v="UB4"/>
    <n v="200"/>
    <m/>
    <x v="0"/>
    <n v="18"/>
    <n v="18"/>
    <m/>
    <n v="18"/>
    <m/>
    <m/>
    <n v="1480.6299999999999"/>
    <n v="1708.71"/>
    <n v="82.257222222222211"/>
    <n v="94.928333333333342"/>
    <n v="5.8"/>
    <n v="5.0199999999999996"/>
    <n v="476.85"/>
    <n v="0"/>
    <n v="0"/>
    <n v="0.55555555555555558"/>
    <n v="0.22222222222222221"/>
    <n v="0.22222222222222221"/>
    <m/>
    <n v="0"/>
    <n v="0"/>
    <n v="3"/>
    <s v="collectif"/>
    <s v="oui"/>
    <m/>
    <m/>
    <m/>
    <m/>
    <d v="2014-10-08T00:00:00"/>
    <m/>
    <m/>
    <m/>
    <d v="2015-03-30T00:00:00"/>
    <d v="2015-11-12T00:00:00"/>
    <m/>
    <n v="7.5666666666666664"/>
    <m/>
    <d v="2016-08-26T00:00:00"/>
    <d v="2016-09-07T00:00:00"/>
    <n v="0.4"/>
    <m/>
    <d v="2016-12-07T00:00:00"/>
    <d v="2016-10-05T00:00:00"/>
    <d v="2017-01-01T00:00:00"/>
    <d v="2019-01-01T00:00:00"/>
    <n v="55466.880000000005"/>
    <s v="non"/>
    <n v="3.2"/>
    <n v="32492.960392029021"/>
    <n v="22973.919607970984"/>
    <d v="2014-06-23T00:00:00"/>
    <d v="2014-06-24T00:00:00"/>
    <d v="2014-06-23T00:00:00"/>
    <n v="-1"/>
    <d v="2015-01-23T00:00:00"/>
    <d v="2014-12-23T00:00:00"/>
    <n v="-31"/>
    <d v="2015-01-22T00:00:00"/>
    <d v="2015-02-03T00:00:00"/>
    <n v="12"/>
    <d v="2015-03-15T00:00:00"/>
    <d v="2015-05-04T00:00:00"/>
    <n v="50"/>
    <d v="2015-07-01T00:00:00"/>
    <d v="2015-09-07T00:00:00"/>
    <n v="68"/>
    <m/>
    <d v="2016-04-12T00:00:00"/>
    <d v="2016-11-21T00:00:00"/>
    <d v="2017-02-03T00:00:00"/>
    <n v="74"/>
    <d v="2017-02-17T00:00:00"/>
    <x v="8"/>
    <x v="3"/>
    <n v="15.066666666666666"/>
    <n v="-11"/>
    <n v="16"/>
    <n v="18"/>
    <d v="2017-03-06T00:00:00"/>
    <d v="2017-05-12T00:00:00"/>
    <n v="67"/>
    <d v="2017-06-13T00:00:00"/>
    <d v="2017-07-07T00:00:00"/>
    <n v="24"/>
    <d v="2017-11-29T00:00:00"/>
    <d v="2017-11-25T00:00:00"/>
    <n v="-4"/>
    <d v="2017-12-13T00:00:00"/>
    <d v="2017-12-13T00:00:00"/>
    <n v="0"/>
    <d v="2018-02-05T00:00:00"/>
    <d v="2018-02-13T00:00:00"/>
    <n v="8"/>
    <d v="2018-04-26T00:00:00"/>
    <d v="2018-07-13T00:00:00"/>
    <n v="78"/>
    <d v="2018-05-24T00:00:00"/>
    <d v="2018-08-13T00:00:00"/>
    <n v="81"/>
    <m/>
    <m/>
    <m/>
    <d v="2018-06-06T00:00:00"/>
    <d v="2018-09-03T00:00:00"/>
    <n v="2.9666666666666668"/>
    <n v="0"/>
    <d v="2019-07-07T00:00:00"/>
    <d v="2018-09-17T00:00:00"/>
    <d v="2017-05-24T00:00:00"/>
    <d v="2018-08-22T00:00:00"/>
    <d v="2018-08-28T00:00:00"/>
    <d v="2018-06-21T00:00:00"/>
    <x v="9"/>
    <x v="3"/>
    <n v="3.2666666666666666"/>
    <n v="10154.050122509068"/>
    <n v="33169.897066862955"/>
    <d v="2018-08-16T00:00:00"/>
    <n v="0"/>
    <n v="0"/>
    <n v="177717.03653999997"/>
    <n v="128189"/>
    <n v="8425.6391399999993"/>
    <n v="6.1626427649845083E-3"/>
    <s v="JMO / NBL / FBR / BBL"/>
    <m/>
    <s v="SMOI : 1 mois retard _x000a_mur voisin : 1,5 mois retard"/>
    <s v="INFO / arrêt de chantier du 20/02/17 au 17/04/2017 suite pb d'avoisinant (bornage et mur)/retard galvanisation charpente"/>
    <d v="2019-07-07T00:00:00"/>
    <s v="ok"/>
    <d v="2018-12-12T00:00:00"/>
    <m/>
    <m/>
    <s v="rel RO 17/4/19"/>
    <s v="dossier transmis 18/07/19"/>
    <d v="2019-09-03T00:00:00"/>
    <m/>
    <m/>
    <d v="2018-11-13T00:00:00"/>
    <d v="2019-03-21T00:00:00"/>
    <m/>
    <m/>
    <m/>
    <m/>
    <s v="envoi OFOI 12/11/19"/>
    <m/>
    <s v="ok"/>
    <m/>
    <m/>
    <m/>
    <m/>
    <n v="1367212"/>
    <n v="1367212"/>
    <n v="1367212"/>
    <n v="384432"/>
    <n v="800.14279778312289"/>
    <n v="75956.222222222219"/>
    <n v="982780"/>
    <m/>
    <n v="54598.888888888891"/>
    <n v="0"/>
    <n v="334225"/>
    <n v="1690516"/>
    <n v="0"/>
    <m/>
    <n v="360000"/>
    <m/>
    <n v="0.26330956720684134"/>
    <m/>
    <m/>
    <n v="24432"/>
    <n v="20000"/>
    <n v="74598.888888888891"/>
    <n v="0"/>
    <n v="0"/>
    <n v="74598.888888888891"/>
    <n v="0"/>
    <n v="74598.888888888891"/>
    <n v="0.98213005737222903"/>
    <n v="0"/>
    <m/>
    <n v="0"/>
    <n v="3312676.0346199996"/>
    <n v="2.4229424804785209"/>
    <n v="-1945464.0346199996"/>
    <n v="-1945464.0346199996"/>
    <n v="1"/>
    <n v="0"/>
    <n v="384432"/>
    <n v="0"/>
    <m/>
    <m/>
    <m/>
    <m/>
    <n v="0"/>
    <m/>
    <m/>
    <m/>
    <m/>
    <m/>
    <m/>
    <n v="0"/>
    <m/>
  </r>
  <r>
    <s v="Desiré 2"/>
    <x v="0"/>
    <x v="0"/>
    <x v="4"/>
    <s v="PRLC 0133"/>
    <s v="YFR"/>
    <m/>
    <x v="0"/>
    <m/>
    <m/>
    <m/>
    <m/>
    <m/>
    <m/>
    <n v="606"/>
    <n v="89040"/>
    <n v="51520"/>
    <n v="12720"/>
    <n v="146.93069306930693"/>
    <n v="85.016501650165011"/>
    <n v="96.464949071300168"/>
    <n v="7360"/>
    <n v="86.571428571428569"/>
    <n v="300"/>
    <n v="115.51155115511551"/>
    <s v="UC"/>
    <n v="606"/>
    <m/>
    <x v="0"/>
    <n v="7"/>
    <n v="7"/>
    <m/>
    <n v="7"/>
    <m/>
    <m/>
    <n v="477.68999999999994"/>
    <n v="534.08000000000004"/>
    <n v="68.241428571428557"/>
    <n v="76.297142857142859"/>
    <n v="5.72"/>
    <n v="5.12"/>
    <n v="390.42"/>
    <m/>
    <n v="0.2857142857142857"/>
    <n v="0.5714285714285714"/>
    <n v="0.14285714285714285"/>
    <m/>
    <n v="217.58"/>
    <n v="238"/>
    <n v="0.39273927392739272"/>
    <n v="2"/>
    <s v="collectif"/>
    <s v="oui"/>
    <m/>
    <m/>
    <m/>
    <m/>
    <m/>
    <m/>
    <d v="2012-02-24T00:00:00"/>
    <m/>
    <d v="2012-03-30T00:00:00"/>
    <d v="2012-09-19T00:00:00"/>
    <m/>
    <n v="5.7666666666666666"/>
    <m/>
    <m/>
    <d v="2012-12-31T00:00:00"/>
    <m/>
    <m/>
    <d v="2013-03-31T00:00:00"/>
    <m/>
    <d v="2013-04-01T00:00:00"/>
    <d v="2015-04-01T00:00:00"/>
    <n v="22679"/>
    <s v="non"/>
    <n v="6.7"/>
    <n v="18864.408333333336"/>
    <n v="3814.5916666666635"/>
    <m/>
    <m/>
    <m/>
    <s v="0"/>
    <m/>
    <m/>
    <s v="0"/>
    <m/>
    <m/>
    <s v="0"/>
    <m/>
    <m/>
    <s v="0"/>
    <m/>
    <m/>
    <s v="0"/>
    <m/>
    <m/>
    <m/>
    <m/>
    <s v="0"/>
    <m/>
    <x v="9"/>
    <x v="4"/>
    <n v="7.6333333333333337"/>
    <s v="0"/>
    <n v="10"/>
    <n v="14"/>
    <m/>
    <m/>
    <s v="0"/>
    <m/>
    <m/>
    <s v="0"/>
    <m/>
    <m/>
    <s v="0"/>
    <m/>
    <m/>
    <s v="0"/>
    <m/>
    <m/>
    <s v="0"/>
    <m/>
    <m/>
    <s v="0"/>
    <m/>
    <m/>
    <s v="0"/>
    <m/>
    <m/>
    <m/>
    <d v="2014-03-06T00:00:00"/>
    <d v="2014-07-11T00:00:00"/>
    <n v="4.2333333333333334"/>
    <m/>
    <m/>
    <d v="2014-09-01T00:00:00"/>
    <s v="ok"/>
    <d v="2014-09-12T00:00:00"/>
    <m/>
    <d v="2014-04-06T00:00:00"/>
    <x v="10"/>
    <x v="1"/>
    <n v="5.3"/>
    <n v="2815.5833333333335"/>
    <n v="14922.591666666667"/>
    <m/>
    <m/>
    <n v="50607"/>
    <m/>
    <m/>
    <m/>
    <n v="0"/>
    <m/>
    <m/>
    <m/>
    <m/>
    <d v="1901-12-31T00:00:00"/>
    <m/>
    <m/>
    <m/>
    <m/>
    <s v="ok"/>
    <d v="2015-03-19T00:00:00"/>
    <d v="2015-07-11T00:00:00"/>
    <n v="10711"/>
    <d v="2014-10-03T00:00:00"/>
    <d v="2014-10-06T00:00:00"/>
    <m/>
    <s v="ok"/>
    <d v="2015-12-08T00:00:00"/>
    <m/>
    <s v="ok"/>
    <m/>
    <d v="2017-04-26T00:00:00"/>
    <s v="ok"/>
    <s v="ok"/>
    <s v="ok"/>
    <s v="ok"/>
    <m/>
    <n v="1127563"/>
    <n v="1127563"/>
    <n v="1127563"/>
    <n v="177688"/>
    <n v="2111.2249101258235"/>
    <n v="161080.42857142858"/>
    <n v="294297"/>
    <m/>
    <n v="42042.428571428572"/>
    <n v="604971"/>
    <n v="112853"/>
    <n v="492118"/>
    <n v="86424.428571428565"/>
    <n v="0"/>
    <n v="177688"/>
    <m/>
    <n v="0.15758587325054121"/>
    <m/>
    <m/>
    <n v="0"/>
    <n v="25384"/>
    <n v="67426.428571428565"/>
    <n v="176884.08837750001"/>
    <n v="119543.69426743503"/>
    <e v="#REF!"/>
    <n v="0"/>
    <n v="84504.099181062149"/>
    <n v="0.47252544420817433"/>
    <n v="52601.919999999998"/>
    <m/>
    <n v="50607"/>
    <m/>
    <n v="0"/>
    <n v="1127563"/>
    <n v="1127563"/>
    <m/>
    <m/>
    <n v="177688"/>
    <n v="0"/>
    <m/>
    <m/>
    <m/>
    <m/>
    <n v="0"/>
    <m/>
    <m/>
    <m/>
    <m/>
    <m/>
    <m/>
    <n v="0"/>
    <m/>
  </r>
  <r>
    <s v="Barrage LLS"/>
    <x v="6"/>
    <x v="1"/>
    <x v="5"/>
    <s v="PRLC 0140"/>
    <m/>
    <m/>
    <x v="2"/>
    <m/>
    <m/>
    <m/>
    <s v="SODEGIS"/>
    <m/>
    <m/>
    <n v="20161"/>
    <n v="1550000"/>
    <n v="1105335"/>
    <n v="14090.90909090909"/>
    <n v="76.88110708794207"/>
    <n v="54.825405485838999"/>
    <n v="392.66733926833251"/>
    <n v="10048.5"/>
    <n v="746.7037037037037"/>
    <m/>
    <n v="13.392192847577006"/>
    <s v="AU5b"/>
    <n v="460"/>
    <m/>
    <x v="1"/>
    <n v="27"/>
    <n v="27"/>
    <n v="27"/>
    <m/>
    <m/>
    <m/>
    <n v="2659.3199999999997"/>
    <n v="2814.94"/>
    <n v="98.493333333333325"/>
    <n v="104.25703703703704"/>
    <n v="6.39"/>
    <n v="6.03"/>
    <n v="629.1"/>
    <n v="0"/>
    <n v="0"/>
    <n v="0"/>
    <n v="0.70370370370370372"/>
    <n v="0.29629629629629628"/>
    <n v="12480"/>
    <m/>
    <n v="0"/>
    <n v="3.5"/>
    <s v="collectif"/>
    <s v="oui"/>
    <m/>
    <m/>
    <m/>
    <m/>
    <d v="2012-09-18T00:00:00"/>
    <m/>
    <d v="2013-03-15T00:00:00"/>
    <m/>
    <d v="2013-03-30T00:00:00"/>
    <d v="2013-08-07T00:00:00"/>
    <m/>
    <n v="4.333333333333333"/>
    <m/>
    <d v="2015-06-08T00:00:00"/>
    <d v="2015-06-16T00:00:00"/>
    <n v="0.26666666666666666"/>
    <m/>
    <d v="2015-09-16T00:00:00"/>
    <d v="2015-07-07T00:00:00"/>
    <d v="2015-10-01T00:00:00"/>
    <d v="2017-10-01T00:00:00"/>
    <m/>
    <s v="oui"/>
    <n v="-1.9666666666666666"/>
    <s v="0"/>
    <n v="0"/>
    <m/>
    <m/>
    <m/>
    <s v="0"/>
    <m/>
    <m/>
    <s v="0"/>
    <m/>
    <m/>
    <s v="0"/>
    <m/>
    <m/>
    <s v="0"/>
    <m/>
    <m/>
    <s v="0"/>
    <m/>
    <m/>
    <m/>
    <m/>
    <s v="0"/>
    <m/>
    <x v="10"/>
    <x v="5"/>
    <n v="21.533333333333335"/>
    <s v="0"/>
    <n v="24"/>
    <n v="30"/>
    <m/>
    <m/>
    <s v="0"/>
    <m/>
    <m/>
    <s v="0"/>
    <m/>
    <m/>
    <s v="0"/>
    <m/>
    <m/>
    <s v="0"/>
    <m/>
    <m/>
    <s v="0"/>
    <m/>
    <m/>
    <s v="0"/>
    <m/>
    <m/>
    <s v="0"/>
    <m/>
    <m/>
    <m/>
    <d v="2017-05-15T00:00:00"/>
    <d v="2017-11-20T00:00:00"/>
    <n v="6.3"/>
    <m/>
    <m/>
    <d v="2017-12-06T00:00:00"/>
    <d v="2016-12-08T00:00:00"/>
    <d v="2017-11-27T00:00:00"/>
    <m/>
    <d v="2017-06-15T00:00:00"/>
    <x v="11"/>
    <x v="4"/>
    <n v="5.5666666666666664"/>
    <n v="17499.114140094502"/>
    <n v="97411.735379859383"/>
    <d v="2017-08-31T00:00:00"/>
    <n v="0"/>
    <n v="0"/>
    <m/>
    <m/>
    <n v="713667.76899999997"/>
    <n v="0.10219803504442251"/>
    <m/>
    <m/>
    <m/>
    <m/>
    <d v="1901-12-31T00:00:00"/>
    <m/>
    <d v="2018-03-05T00:00:00"/>
    <m/>
    <m/>
    <d v="2020-12-30T00:00:00"/>
    <m/>
    <d v="2018-11-20T00:00:00"/>
    <n v="52707"/>
    <m/>
    <m/>
    <m/>
    <m/>
    <m/>
    <m/>
    <m/>
    <s v="envoi OFOI 22/06/18"/>
    <m/>
    <d v="2018-03-01T00:00:00"/>
    <m/>
    <m/>
    <m/>
    <n v="5545807"/>
    <n v="5488129.9500000002"/>
    <n v="5488129.9500000002"/>
    <n v="5488129.9500000002"/>
    <n v="1"/>
    <n v="1949.6436691368201"/>
    <n v="203264.07222222222"/>
    <n v="1916369"/>
    <m/>
    <n v="70976.629629629635"/>
    <n v="3571759.95"/>
    <n v="595108"/>
    <n v="2976651.95"/>
    <n v="132287.40555555557"/>
    <m/>
    <n v="1"/>
    <m/>
    <n v="1.8221142886749611E-7"/>
    <m/>
    <m/>
    <n v="0"/>
    <n v="3.7037037037037035E-2"/>
    <n v="70976.666666666672"/>
    <n v="1015690.2065916295"/>
    <n v="540000"/>
    <n v="90976.666666666672"/>
    <n v="0"/>
    <n v="90976.666666666672"/>
    <n v="0.39970846321114534"/>
    <n v="358416.12820000004"/>
    <m/>
    <n v="0"/>
    <m/>
    <n v="0"/>
    <n v="5488129.9500000002"/>
    <n v="5488129.9500000002"/>
    <m/>
    <m/>
    <n v="1"/>
    <n v="0"/>
    <m/>
    <m/>
    <m/>
    <m/>
    <n v="0"/>
    <m/>
    <m/>
    <m/>
    <m/>
    <m/>
    <m/>
    <n v="0"/>
    <m/>
  </r>
  <r>
    <s v="Christiane - Amata (HE 168) LLTS"/>
    <x v="5"/>
    <x v="0"/>
    <x v="3"/>
    <s v="PRLC 0129"/>
    <s v="MHO"/>
    <s v="VAF"/>
    <x v="3"/>
    <m/>
    <m/>
    <s v="servitude PERRAU à mettre en place_x000a_rétrocession zone N à faire"/>
    <s v="EPFR"/>
    <s v="AUBERT"/>
    <m/>
    <n v="2705.5862068965516"/>
    <n v="122110.34482758622"/>
    <n v="122110.34482758622"/>
    <n v="10175.862068965518"/>
    <n v="45.132675690143003"/>
    <n v="45.132675690143003"/>
    <n v="180.30054163480233"/>
    <n v="10175.862068965518"/>
    <n v="225.4655172413793"/>
    <m/>
    <n v="44.352680278351308"/>
    <s v="UC 2"/>
    <n v="280"/>
    <n v="0.25"/>
    <x v="0"/>
    <n v="12"/>
    <n v="12"/>
    <m/>
    <n v="12"/>
    <m/>
    <m/>
    <n v="677.26"/>
    <n v="677.26"/>
    <n v="56.438333333333333"/>
    <n v="56.438333333333333"/>
    <n v="5.87"/>
    <n v="5.87"/>
    <n v="331.1"/>
    <m/>
    <n v="1"/>
    <m/>
    <m/>
    <m/>
    <m/>
    <m/>
    <m/>
    <n v="2"/>
    <s v="collectif"/>
    <s v="oui"/>
    <m/>
    <m/>
    <m/>
    <m/>
    <d v="2014-10-09T00:00:00"/>
    <m/>
    <m/>
    <m/>
    <d v="2015-03-30T00:00:00"/>
    <d v="2015-10-29T00:00:00"/>
    <d v="2015-11-27T00:00:00"/>
    <n v="7.1"/>
    <m/>
    <d v="2016-09-01T00:00:00"/>
    <d v="2016-09-09T00:00:00"/>
    <n v="0.26666666666666666"/>
    <n v="54134"/>
    <d v="2016-12-09T00:00:00"/>
    <m/>
    <d v="2017-01-01T00:00:00"/>
    <d v="2019-01-01T00:00:00"/>
    <n v="20906"/>
    <s v="oui"/>
    <n v="-1.6333333333333333"/>
    <s v="0"/>
    <n v="20906"/>
    <m/>
    <m/>
    <m/>
    <s v="0"/>
    <m/>
    <m/>
    <s v="0"/>
    <m/>
    <m/>
    <s v="0"/>
    <m/>
    <m/>
    <s v="0"/>
    <m/>
    <m/>
    <s v="0"/>
    <m/>
    <m/>
    <m/>
    <m/>
    <m/>
    <m/>
    <x v="7"/>
    <x v="3"/>
    <n v="15.866666666666667"/>
    <s v="0"/>
    <n v="18"/>
    <n v="23"/>
    <m/>
    <m/>
    <s v="0"/>
    <m/>
    <m/>
    <s v="0"/>
    <m/>
    <m/>
    <s v="0"/>
    <m/>
    <m/>
    <s v="0"/>
    <m/>
    <d v="2018-07-09T00:00:00"/>
    <s v="0"/>
    <m/>
    <m/>
    <s v="0"/>
    <m/>
    <m/>
    <s v="0"/>
    <m/>
    <m/>
    <m/>
    <d v="2018-08-16T00:00:00"/>
    <d v="2019-02-07T00:00:00"/>
    <n v="5.833333333333333"/>
    <n v="0"/>
    <m/>
    <d v="2019-02-26T00:00:00"/>
    <d v="2017-06-01T00:00:00"/>
    <m/>
    <m/>
    <d v="2018-08-31T00:00:00"/>
    <x v="8"/>
    <x v="2"/>
    <n v="5.7333333333333334"/>
    <n v="4102.166666666667"/>
    <n v="23519.088888888891"/>
    <m/>
    <n v="0"/>
    <n v="0"/>
    <s v="-"/>
    <m/>
    <m/>
    <n v="0"/>
    <m/>
    <m/>
    <m/>
    <m/>
    <d v="1901-12-31T00:00:00"/>
    <m/>
    <m/>
    <m/>
    <m/>
    <m/>
    <m/>
    <d v="2020-02-07T00:00:00"/>
    <m/>
    <m/>
    <m/>
    <m/>
    <m/>
    <m/>
    <m/>
    <m/>
    <m/>
    <m/>
    <d v="2019-11-22T00:00:00"/>
    <m/>
    <m/>
    <m/>
    <m/>
    <n v="1495054.8900000001"/>
    <n v="1495054.8900000001"/>
    <n v="1495054.8900000001"/>
    <n v="280007"/>
    <n v="2207.5050792900806"/>
    <n v="124587.90750000002"/>
    <n v="443491.89"/>
    <m/>
    <n v="36957.657500000001"/>
    <n v="771556"/>
    <n v="172922"/>
    <n v="598634"/>
    <n v="64296.333333333336"/>
    <m/>
    <n v="266000"/>
    <m/>
    <n v="0.17791988894802382"/>
    <m/>
    <m/>
    <n v="14007"/>
    <n v="22166.666666666668"/>
    <n v="59124.324166666665"/>
    <n v="0"/>
    <n v="0"/>
    <n v="59124.324166666665"/>
    <n v="0"/>
    <n v="59124.324166666665"/>
    <n v="0.474559091271893"/>
    <n v="0"/>
    <m/>
    <n v="0"/>
    <n v="1177926.57"/>
    <n v="0.78788182151626551"/>
    <n v="317128.32000000007"/>
    <n v="317128.32000000007"/>
    <n v="1"/>
    <m/>
    <m/>
    <n v="0"/>
    <m/>
    <m/>
    <m/>
    <m/>
    <n v="0"/>
    <m/>
    <m/>
    <m/>
    <m/>
    <m/>
    <m/>
    <n v="0"/>
    <m/>
  </r>
  <r>
    <s v="Barrage LLTS"/>
    <x v="6"/>
    <x v="1"/>
    <x v="5"/>
    <s v="PRLC 0140"/>
    <s v="BBL"/>
    <s v="SRI"/>
    <x v="3"/>
    <m/>
    <m/>
    <m/>
    <s v="SODEGIS"/>
    <m/>
    <m/>
    <m/>
    <m/>
    <m/>
    <m/>
    <m/>
    <m/>
    <m/>
    <m/>
    <m/>
    <m/>
    <e v="#DIV/0!"/>
    <m/>
    <m/>
    <m/>
    <x v="0"/>
    <n v="83"/>
    <n v="83"/>
    <m/>
    <n v="83"/>
    <m/>
    <m/>
    <n v="6330.16"/>
    <n v="7367.66"/>
    <n v="76.266987951807224"/>
    <n v="88.766987951807224"/>
    <n v="5.84"/>
    <n v="5.0199999999999996"/>
    <n v="445.64"/>
    <n v="0"/>
    <n v="0.12048192771084337"/>
    <n v="0.50602409638554213"/>
    <n v="0.33734939759036142"/>
    <n v="3.614457831325301E-2"/>
    <m/>
    <m/>
    <e v="#DIV/0!"/>
    <n v="3.5"/>
    <s v="collectif"/>
    <s v="oui"/>
    <m/>
    <m/>
    <m/>
    <m/>
    <d v="2012-09-18T00:00:00"/>
    <m/>
    <d v="2013-03-15T00:00:00"/>
    <m/>
    <d v="2013-03-30T00:00:00"/>
    <d v="2013-07-08T00:00:00"/>
    <m/>
    <n v="3.3333333333333335"/>
    <m/>
    <d v="2015-06-08T00:00:00"/>
    <d v="2015-06-16T00:00:00"/>
    <n v="0.26666666666666666"/>
    <m/>
    <d v="2015-09-16T00:00:00"/>
    <d v="2015-07-07T00:00:00"/>
    <d v="2015-10-01T00:00:00"/>
    <d v="2017-10-01T00:00:00"/>
    <m/>
    <s v="oui"/>
    <n v="-1.9666666666666666"/>
    <s v="0"/>
    <n v="0"/>
    <m/>
    <m/>
    <m/>
    <s v="0"/>
    <m/>
    <m/>
    <s v="0"/>
    <m/>
    <m/>
    <s v="0"/>
    <m/>
    <m/>
    <s v="0"/>
    <m/>
    <m/>
    <s v="0"/>
    <m/>
    <m/>
    <m/>
    <m/>
    <s v="0"/>
    <m/>
    <x v="10"/>
    <x v="5"/>
    <n v="22.533333333333335"/>
    <s v="0"/>
    <n v="24"/>
    <n v="30"/>
    <m/>
    <m/>
    <s v="0"/>
    <m/>
    <m/>
    <s v="0"/>
    <m/>
    <m/>
    <s v="0"/>
    <m/>
    <m/>
    <s v="0"/>
    <m/>
    <m/>
    <s v="0"/>
    <m/>
    <m/>
    <s v="0"/>
    <m/>
    <m/>
    <s v="0"/>
    <m/>
    <m/>
    <m/>
    <d v="2017-05-15T00:00:00"/>
    <d v="2017-11-20T00:00:00"/>
    <n v="6.3"/>
    <m/>
    <m/>
    <d v="2017-12-06T00:00:00"/>
    <d v="2016-12-08T00:00:00"/>
    <d v="2017-11-27T00:00:00"/>
    <m/>
    <d v="2017-06-15T00:00:00"/>
    <x v="11"/>
    <x v="4"/>
    <n v="5.5666666666666664"/>
    <n v="38106.375015552585"/>
    <n v="212125.48758657606"/>
    <d v="2017-08-31T00:00:00"/>
    <n v="0"/>
    <n v="0"/>
    <m/>
    <m/>
    <m/>
    <m/>
    <m/>
    <m/>
    <m/>
    <m/>
    <d v="1901-12-31T00:00:00"/>
    <m/>
    <d v="2018-03-05T00:00:00"/>
    <m/>
    <m/>
    <d v="2020-12-30T00:00:00"/>
    <s v="quittance défi reçue 17/07/19 : à traiter"/>
    <d v="2018-11-20T00:00:00"/>
    <n v="137952"/>
    <m/>
    <m/>
    <m/>
    <m/>
    <m/>
    <m/>
    <m/>
    <m/>
    <m/>
    <d v="2018-03-01T00:00:00"/>
    <m/>
    <m/>
    <m/>
    <n v="14323815"/>
    <n v="14364754"/>
    <n v="14364754"/>
    <n v="14364754"/>
    <n v="2075000"/>
    <n v="1949.7037051112566"/>
    <n v="173069.32530120481"/>
    <n v="4422509"/>
    <m/>
    <n v="53283.240963855424"/>
    <n v="8282245"/>
    <n v="1278025"/>
    <n v="7004220"/>
    <n v="99786.084337349399"/>
    <m/>
    <n v="1245000"/>
    <n v="415000"/>
    <n v="8.6670471349526768E-2"/>
    <m/>
    <m/>
    <n v="415000"/>
    <n v="15000"/>
    <n v="68283.240963855424"/>
    <n v="2467086.73961312"/>
    <n v="1660000"/>
    <n v="88283.240963855424"/>
    <n v="0"/>
    <n v="88283.240963855424"/>
    <n v="0.45620980509805781"/>
    <n v="770132.02990000008"/>
    <m/>
    <n v="0"/>
    <m/>
    <n v="0"/>
    <n v="14364754"/>
    <n v="14364754"/>
    <m/>
    <m/>
    <n v="2075000"/>
    <n v="0"/>
    <m/>
    <m/>
    <m/>
    <m/>
    <n v="0"/>
    <m/>
    <m/>
    <m/>
    <m/>
    <m/>
    <m/>
    <n v="0"/>
    <m/>
  </r>
  <r>
    <s v="Poker d'As LLS"/>
    <x v="2"/>
    <x v="2"/>
    <x v="4"/>
    <s v="PRLC 0090"/>
    <s v="FMA"/>
    <m/>
    <x v="0"/>
    <m/>
    <m/>
    <m/>
    <m/>
    <m/>
    <m/>
    <n v="3735"/>
    <n v="860000"/>
    <n v="860000"/>
    <n v="29655.172413793105"/>
    <n v="230.25435073627844"/>
    <n v="230.25435073627844"/>
    <n v="360.08575065317876"/>
    <n v="29655.172413793105"/>
    <n v="128.79310344827587"/>
    <m/>
    <n v="77.643908969210173"/>
    <s v="UA"/>
    <m/>
    <m/>
    <x v="1"/>
    <n v="29"/>
    <n v="29"/>
    <n v="29"/>
    <m/>
    <m/>
    <m/>
    <n v="2007.6900000000003"/>
    <n v="2388.3200000000002"/>
    <n v="69.230689655172426"/>
    <n v="82.355862068965521"/>
    <n v="7.4473879373807685"/>
    <n v="6.2604869900180882"/>
    <n v="515.5878030344827"/>
    <m/>
    <m/>
    <m/>
    <m/>
    <m/>
    <n v="1046"/>
    <n v="0"/>
    <n v="0"/>
    <n v="4"/>
    <s v="collectif"/>
    <s v="oui"/>
    <m/>
    <m/>
    <m/>
    <m/>
    <m/>
    <m/>
    <d v="2012-02-24T00:00:00"/>
    <m/>
    <d v="2012-03-30T00:00:00"/>
    <d v="2012-05-24T00:00:00"/>
    <m/>
    <n v="1.8333333333333333"/>
    <m/>
    <m/>
    <d v="2013-01-11T00:00:00"/>
    <m/>
    <m/>
    <d v="2013-04-11T00:00:00"/>
    <m/>
    <d v="2013-05-01T00:00:00"/>
    <d v="2015-05-01T00:00:00"/>
    <n v="139704"/>
    <s v="oui"/>
    <n v="-1.1000000000000001"/>
    <s v="0"/>
    <n v="139704"/>
    <m/>
    <m/>
    <m/>
    <s v="0"/>
    <m/>
    <m/>
    <s v="0"/>
    <m/>
    <m/>
    <s v="0"/>
    <m/>
    <m/>
    <s v="0"/>
    <m/>
    <m/>
    <s v="0"/>
    <m/>
    <m/>
    <m/>
    <m/>
    <s v="0"/>
    <m/>
    <x v="11"/>
    <x v="4"/>
    <n v="8.5333333333333332"/>
    <s v="0"/>
    <n v="15"/>
    <n v="27"/>
    <m/>
    <m/>
    <s v="0"/>
    <m/>
    <m/>
    <s v="0"/>
    <m/>
    <m/>
    <s v="0"/>
    <m/>
    <m/>
    <s v="0"/>
    <m/>
    <m/>
    <s v="0"/>
    <m/>
    <m/>
    <s v="0"/>
    <m/>
    <m/>
    <s v="0"/>
    <m/>
    <m/>
    <m/>
    <d v="2014-05-04T00:00:00"/>
    <d v="2015-06-03T00:00:00"/>
    <n v="13.166666666666666"/>
    <m/>
    <m/>
    <d v="2014-12-19T00:00:00"/>
    <s v="ok"/>
    <d v="2015-06-03T00:00:00"/>
    <m/>
    <d v="2014-06-04T00:00:00"/>
    <x v="12"/>
    <x v="5"/>
    <n v="12.133333333333333"/>
    <n v="15403.971887054833"/>
    <n v="186901.52556293196"/>
    <m/>
    <m/>
    <n v="20258"/>
    <m/>
    <m/>
    <m/>
    <n v="0"/>
    <m/>
    <m/>
    <m/>
    <m/>
    <d v="1901-12-31T00:00:00"/>
    <m/>
    <m/>
    <m/>
    <m/>
    <m/>
    <s v="à faire"/>
    <d v="2016-06-03T00:00:00"/>
    <n v="10000"/>
    <s v="7/9/15 - correctifs à apporter"/>
    <d v="2015-12-15T00:00:00"/>
    <m/>
    <m/>
    <m/>
    <m/>
    <m/>
    <d v="2017-09-28T00:00:00"/>
    <m/>
    <m/>
    <m/>
    <m/>
    <s v="ok"/>
    <n v="4670611"/>
    <n v="4681218.38"/>
    <n v="4681218.38"/>
    <n v="4681218.38"/>
    <n v="1111"/>
    <n v="1960.0465515508808"/>
    <n v="161421.32344827586"/>
    <n v="1473759.38"/>
    <m/>
    <n v="50819.28896551724"/>
    <n v="3186090"/>
    <n v="549227"/>
    <n v="2636863"/>
    <n v="109865.1724137931"/>
    <n v="0"/>
    <n v="1"/>
    <m/>
    <n v="2.1361960045965641E-7"/>
    <m/>
    <m/>
    <n v="1110"/>
    <n v="3.4482758620689655E-2"/>
    <n v="50819.323448275856"/>
    <n v="0"/>
    <n v="0"/>
    <e v="#REF!"/>
    <n v="0"/>
    <n v="50819.323448275856"/>
    <n v="0.31482410354887136"/>
    <m/>
    <m/>
    <n v="20258"/>
    <m/>
    <n v="0"/>
    <n v="4681218.38"/>
    <n v="4681218.38"/>
    <m/>
    <m/>
    <n v="1111"/>
    <n v="0"/>
    <m/>
    <m/>
    <m/>
    <m/>
    <n v="0"/>
    <m/>
    <m/>
    <m/>
    <m/>
    <m/>
    <m/>
    <n v="0"/>
    <m/>
  </r>
  <r>
    <s v="Poker d'As LLTS"/>
    <x v="2"/>
    <x v="2"/>
    <x v="4"/>
    <s v="PRLC 0090"/>
    <s v="FMA"/>
    <m/>
    <x v="0"/>
    <m/>
    <m/>
    <m/>
    <m/>
    <m/>
    <m/>
    <m/>
    <m/>
    <m/>
    <m/>
    <m/>
    <m/>
    <m/>
    <m/>
    <m/>
    <m/>
    <e v="#DIV/0!"/>
    <s v="UA"/>
    <m/>
    <m/>
    <x v="0"/>
    <n v="13"/>
    <n v="13"/>
    <m/>
    <n v="13"/>
    <m/>
    <m/>
    <n v="759.6099999999999"/>
    <n v="926.6099999999999"/>
    <n v="58.431538461538452"/>
    <n v="71.277692307692305"/>
    <n v="6.37"/>
    <n v="5.22"/>
    <n v="403.29796109582185"/>
    <m/>
    <m/>
    <m/>
    <m/>
    <m/>
    <m/>
    <m/>
    <m/>
    <m/>
    <s v="collectif"/>
    <s v="oui"/>
    <m/>
    <m/>
    <m/>
    <m/>
    <m/>
    <m/>
    <d v="2012-02-24T00:00:00"/>
    <m/>
    <d v="2012-03-30T00:00:00"/>
    <d v="2012-06-21T00:00:00"/>
    <m/>
    <n v="2.7666666666666666"/>
    <m/>
    <m/>
    <d v="2013-01-11T00:00:00"/>
    <m/>
    <m/>
    <d v="2013-04-11T00:00:00"/>
    <m/>
    <d v="2013-05-01T00:00:00"/>
    <d v="2015-05-01T00:00:00"/>
    <n v="39110"/>
    <s v="oui"/>
    <n v="-1.1000000000000001"/>
    <s v="0"/>
    <n v="39110"/>
    <m/>
    <m/>
    <m/>
    <s v="0"/>
    <m/>
    <m/>
    <s v="0"/>
    <m/>
    <m/>
    <s v="0"/>
    <m/>
    <m/>
    <s v="0"/>
    <m/>
    <m/>
    <s v="0"/>
    <m/>
    <m/>
    <m/>
    <m/>
    <s v="0"/>
    <m/>
    <x v="11"/>
    <x v="4"/>
    <n v="7.6"/>
    <s v="0"/>
    <n v="15"/>
    <n v="27"/>
    <m/>
    <m/>
    <s v="0"/>
    <m/>
    <m/>
    <s v="0"/>
    <m/>
    <m/>
    <s v="0"/>
    <m/>
    <m/>
    <s v="0"/>
    <m/>
    <m/>
    <s v="0"/>
    <m/>
    <m/>
    <s v="0"/>
    <m/>
    <m/>
    <s v="0"/>
    <m/>
    <m/>
    <m/>
    <d v="2014-05-04T00:00:00"/>
    <d v="2015-06-03T00:00:00"/>
    <n v="13.166666666666666"/>
    <m/>
    <m/>
    <d v="2014-12-19T00:00:00"/>
    <s v="ok"/>
    <d v="2015-06-03T00:00:00"/>
    <m/>
    <d v="2014-06-04T00:00:00"/>
    <x v="12"/>
    <x v="5"/>
    <n v="12.133333333333333"/>
    <n v="4597.6309846555168"/>
    <n v="55784.589280486936"/>
    <m/>
    <m/>
    <n v="90483"/>
    <m/>
    <m/>
    <m/>
    <n v="0"/>
    <m/>
    <s v="Lot Elec : DTS par Rayroux_x000a_Soit 1 lot sur 16_x000a_3 RO"/>
    <m/>
    <m/>
    <d v="1901-12-31T00:00:00"/>
    <m/>
    <m/>
    <m/>
    <m/>
    <m/>
    <s v="à faire"/>
    <d v="2016-06-03T00:00:00"/>
    <n v="59673"/>
    <s v="7/9/15 - correctifs à apporter"/>
    <d v="2015-12-15T00:00:00"/>
    <m/>
    <m/>
    <m/>
    <m/>
    <m/>
    <d v="2017-09-28T00:00:00"/>
    <m/>
    <m/>
    <m/>
    <m/>
    <s v="ok"/>
    <n v="1808199"/>
    <n v="1898659.47"/>
    <n v="1898659.47"/>
    <n v="1898659.47"/>
    <n v="60430"/>
    <n v="2049.0383980315346"/>
    <n v="146050.72846153847"/>
    <n v="706398.49"/>
    <m/>
    <n v="54338.345384615386"/>
    <n v="1041347.98"/>
    <n v="179485"/>
    <n v="861862.98"/>
    <n v="80103.690769230772"/>
    <n v="0"/>
    <n v="60000"/>
    <m/>
    <n v="3.1601243376201633E-2"/>
    <m/>
    <m/>
    <n v="430"/>
    <n v="4615.3846153846152"/>
    <n v="58953.729999999996"/>
    <n v="0"/>
    <n v="0"/>
    <e v="#REF!"/>
    <n v="0"/>
    <n v="58953.729999999996"/>
    <n v="0.40365242009405722"/>
    <m/>
    <m/>
    <n v="90483"/>
    <m/>
    <n v="0"/>
    <n v="1898659.47"/>
    <n v="1898659.47"/>
    <m/>
    <m/>
    <n v="60430"/>
    <n v="0"/>
    <m/>
    <m/>
    <m/>
    <m/>
    <n v="0"/>
    <m/>
    <m/>
    <m/>
    <m/>
    <m/>
    <m/>
    <n v="0"/>
    <m/>
  </r>
  <r>
    <s v="Sceau de Salomon "/>
    <x v="2"/>
    <x v="2"/>
    <x v="4"/>
    <s v="PRLC 0128"/>
    <m/>
    <s v="DBE"/>
    <x v="0"/>
    <m/>
    <m/>
    <m/>
    <m/>
    <m/>
    <m/>
    <n v="7275"/>
    <n v="773000"/>
    <n v="773000"/>
    <n v="9202.3809523809523"/>
    <n v="106.25429553264605"/>
    <n v="106.25429553264605"/>
    <n v="168.94476183815397"/>
    <n v="9202.3809523809523"/>
    <n v="86.607142857142861"/>
    <m/>
    <n v="115.4639175257732"/>
    <s v="UB"/>
    <n v="530"/>
    <n v="0.1"/>
    <x v="1"/>
    <n v="84"/>
    <n v="84"/>
    <n v="84"/>
    <m/>
    <m/>
    <m/>
    <n v="4463.57"/>
    <n v="4575.46"/>
    <n v="53.137738095238092"/>
    <n v="54.469761904761903"/>
    <n v="7.3159053994896448"/>
    <n v="7.1369995287905477"/>
    <n v="388.75066504761912"/>
    <m/>
    <m/>
    <m/>
    <m/>
    <m/>
    <n v="2038"/>
    <n v="0"/>
    <n v="0"/>
    <n v="4"/>
    <s v="collectif"/>
    <s v="oui"/>
    <m/>
    <m/>
    <m/>
    <m/>
    <m/>
    <m/>
    <d v="2012-02-24T00:00:00"/>
    <m/>
    <d v="2012-03-30T00:00:00"/>
    <d v="2012-08-23T00:00:00"/>
    <d v="2016-04-21T00:00:00"/>
    <n v="4.8666666666666663"/>
    <m/>
    <m/>
    <d v="2013-01-11T00:00:00"/>
    <m/>
    <m/>
    <d v="2013-04-11T00:00:00"/>
    <m/>
    <d v="2013-05-01T00:00:00"/>
    <d v="2015-05-01T00:00:00"/>
    <n v="279424"/>
    <s v="non"/>
    <n v="5.666666666666667"/>
    <n v="190638.31125577335"/>
    <n v="88785.688744226645"/>
    <m/>
    <m/>
    <m/>
    <s v="0"/>
    <m/>
    <m/>
    <s v="0"/>
    <m/>
    <m/>
    <s v="0"/>
    <m/>
    <m/>
    <s v="0"/>
    <m/>
    <m/>
    <s v="0"/>
    <m/>
    <m/>
    <m/>
    <m/>
    <s v="0"/>
    <m/>
    <x v="12"/>
    <x v="4"/>
    <n v="5.0333333333333332"/>
    <s v="0"/>
    <n v="19"/>
    <n v="20"/>
    <m/>
    <m/>
    <s v="0"/>
    <m/>
    <m/>
    <s v="0"/>
    <m/>
    <m/>
    <s v="0"/>
    <m/>
    <m/>
    <s v="0"/>
    <m/>
    <m/>
    <s v="0"/>
    <m/>
    <m/>
    <s v="0"/>
    <m/>
    <m/>
    <s v="0"/>
    <m/>
    <m/>
    <m/>
    <d v="2014-08-21T00:00:00"/>
    <d v="2014-10-15T00:00:00"/>
    <n v="1.8333333333333333"/>
    <m/>
    <m/>
    <d v="2014-10-23T00:00:00"/>
    <s v="ok"/>
    <d v="2014-11-12T00:00:00"/>
    <m/>
    <d v="2014-09-21T00:00:00"/>
    <x v="13"/>
    <x v="1"/>
    <n v="1.7333333333333334"/>
    <n v="33642.054927489415"/>
    <n v="58312.895207648318"/>
    <m/>
    <m/>
    <n v="0"/>
    <m/>
    <m/>
    <m/>
    <n v="0"/>
    <m/>
    <m/>
    <m/>
    <m/>
    <d v="1901-12-31T00:00:00"/>
    <m/>
    <m/>
    <m/>
    <m/>
    <m/>
    <d v="2015-09-03T00:00:00"/>
    <d v="2015-10-15T00:00:00"/>
    <n v="90420"/>
    <d v="2014-11-25T00:00:00"/>
    <d v="2014-11-26T00:00:00"/>
    <m/>
    <s v="ok"/>
    <d v="2015-10-29T00:00:00"/>
    <m/>
    <m/>
    <d v="2016-04-15T00:00:00"/>
    <m/>
    <m/>
    <m/>
    <d v="2015-08-03T00:00:00"/>
    <s v="ok"/>
    <m/>
    <n v="9756378.3699999992"/>
    <n v="9756378.3699999992"/>
    <n v="9756378.3699999992"/>
    <n v="63129"/>
    <n v="2132.327322280164"/>
    <n v="116147.36154761903"/>
    <n v="3263643"/>
    <m/>
    <n v="38852.892857142855"/>
    <n v="6429606.3699999992"/>
    <n v="1639468.02"/>
    <n v="4790138.3499999996"/>
    <n v="76542.932976190466"/>
    <n v="0"/>
    <n v="1"/>
    <m/>
    <n v="1.0249704983510188E-7"/>
    <m/>
    <m/>
    <n v="63128"/>
    <n v="1.1904761904761904E-2"/>
    <n v="38852.904761904763"/>
    <n v="0"/>
    <n v="0"/>
    <e v="#REF!"/>
    <n v="0"/>
    <n v="38852.904761904763"/>
    <n v="0.33451388171203122"/>
    <m/>
    <m/>
    <n v="0"/>
    <m/>
    <n v="0"/>
    <n v="9756378.3699999992"/>
    <n v="9756378.3699999992"/>
    <m/>
    <m/>
    <n v="63129"/>
    <n v="0"/>
    <m/>
    <m/>
    <m/>
    <m/>
    <n v="0"/>
    <m/>
    <m/>
    <m/>
    <m/>
    <m/>
    <m/>
    <n v="0"/>
    <m/>
  </r>
  <r>
    <s v="Le Cap (BH 228)"/>
    <x v="1"/>
    <x v="1"/>
    <x v="4"/>
    <s v="PRLC 0135"/>
    <s v="YFR"/>
    <s v="VAF"/>
    <x v="0"/>
    <m/>
    <s v="BH 228"/>
    <s v="abandon servitude EP - si débordement on avisera"/>
    <m/>
    <m/>
    <m/>
    <n v="7382"/>
    <n v="243429"/>
    <n v="239545"/>
    <n v="10142.875"/>
    <n v="32.976022758060147"/>
    <n v="32.449878081820643"/>
    <n v="117.04534349653083"/>
    <n v="9981.0416666666661"/>
    <n v="307.58333333333331"/>
    <m/>
    <n v="32.511514494716877"/>
    <s v="UD"/>
    <n v="750"/>
    <n v="0.3"/>
    <x v="0"/>
    <n v="24"/>
    <n v="24"/>
    <m/>
    <n v="24"/>
    <m/>
    <m/>
    <n v="2026.2599999999998"/>
    <n v="2046.6"/>
    <n v="84.427499999999995"/>
    <n v="85.274999999999991"/>
    <n v="5.01"/>
    <n v="4.96"/>
    <n v="423.09"/>
    <m/>
    <m/>
    <m/>
    <m/>
    <m/>
    <n v="1700"/>
    <n v="486"/>
    <n v="6.5835816851801676E-2"/>
    <n v="1.5"/>
    <s v="collectif"/>
    <s v="non"/>
    <m/>
    <m/>
    <m/>
    <m/>
    <m/>
    <m/>
    <d v="2012-02-24T00:00:00"/>
    <m/>
    <d v="2012-03-30T00:00:00"/>
    <d v="2012-09-18T00:00:00"/>
    <m/>
    <n v="5.7333333333333334"/>
    <m/>
    <m/>
    <d v="2012-12-13T00:00:00"/>
    <m/>
    <m/>
    <d v="2013-03-13T00:00:00"/>
    <m/>
    <d v="2013-04-01T00:00:00"/>
    <d v="2015-04-01T00:00:00"/>
    <n v="87854"/>
    <s v="oui"/>
    <n v="-17.733333333333334"/>
    <s v="0"/>
    <n v="87854"/>
    <m/>
    <m/>
    <m/>
    <s v="0"/>
    <m/>
    <m/>
    <s v="0"/>
    <m/>
    <m/>
    <s v="0"/>
    <m/>
    <m/>
    <s v="0"/>
    <m/>
    <m/>
    <s v="0"/>
    <m/>
    <m/>
    <m/>
    <m/>
    <s v="0"/>
    <m/>
    <x v="13"/>
    <x v="4"/>
    <n v="13.4"/>
    <s v="0"/>
    <n v="17"/>
    <n v="34"/>
    <m/>
    <m/>
    <s v="0"/>
    <m/>
    <m/>
    <s v="0"/>
    <m/>
    <m/>
    <s v="0"/>
    <m/>
    <m/>
    <s v="0"/>
    <m/>
    <m/>
    <s v="0"/>
    <m/>
    <m/>
    <s v="0"/>
    <m/>
    <m/>
    <s v="0"/>
    <m/>
    <m/>
    <m/>
    <d v="2015-03-25T00:00:00"/>
    <d v="2016-09-06T00:00:00"/>
    <n v="17.7"/>
    <m/>
    <m/>
    <d v="2016-09-20T00:00:00"/>
    <d v="2015-12-04T00:00:00"/>
    <s v="ok"/>
    <m/>
    <d v="2015-04-25T00:00:00"/>
    <x v="14"/>
    <x v="6"/>
    <n v="16.933333333333334"/>
    <n v="8408.8783613612504"/>
    <n v="142390.34025238384"/>
    <s v="ok"/>
    <m/>
    <n v="0"/>
    <m/>
    <m/>
    <n v="44803.79"/>
    <n v="1.0920921423548439E-2"/>
    <m/>
    <s v="Lot Bardage : EEC par MJF_x000a_Lot Charpente : EEC par MJF_x000a_Lot Elect : I2E par IEB_x000a_Lot Plomb : Sarhane par Ersec_x000a_Lot Plomb : Ersec par CSO_x000a_Soit 5 lot sur 14 = 35%_x000a_2 RO"/>
    <m/>
    <m/>
    <d v="1901-12-31T00:00:00"/>
    <d v="2016-11-28T00:00:00"/>
    <m/>
    <s v="ok"/>
    <s v="ok"/>
    <d v="2017-01-31T00:00:00"/>
    <d v="2017-09-01T00:00:00"/>
    <d v="2017-09-06T00:00:00"/>
    <n v="57355"/>
    <d v="2016-12-12T00:00:00"/>
    <d v="2017-01-20T00:00:00"/>
    <m/>
    <m/>
    <m/>
    <m/>
    <m/>
    <s v="envoi arrangeur 21/02/18"/>
    <m/>
    <d v="2017-03-14T00:00:00"/>
    <s v="ok"/>
    <d v="2018-04-24T00:00:00"/>
    <s v="ok"/>
    <n v="3907101"/>
    <n v="4102565"/>
    <n v="4102565"/>
    <n v="4102565"/>
    <n v="384000"/>
    <n v="2004.5758819505522"/>
    <n v="170940.20833333334"/>
    <n v="1196851"/>
    <m/>
    <n v="49868.791666666664"/>
    <n v="2362522"/>
    <n v="585357"/>
    <n v="1777165"/>
    <n v="98438.416666666672"/>
    <n v="159192"/>
    <n v="384000"/>
    <m/>
    <n v="9.3599979525004484E-2"/>
    <m/>
    <m/>
    <n v="0"/>
    <n v="16000"/>
    <n v="65868.791666666672"/>
    <n v="913316.69861249998"/>
    <n v="480000"/>
    <e v="#REF!"/>
    <n v="148968.80577250005"/>
    <n v="92075.825240520833"/>
    <n v="0.46341443471424698"/>
    <n v="247321.11820000003"/>
    <m/>
    <m/>
    <m/>
    <n v="0"/>
    <n v="4102565"/>
    <n v="4102565"/>
    <m/>
    <m/>
    <n v="384000"/>
    <n v="0"/>
    <m/>
    <m/>
    <m/>
    <m/>
    <n v="0"/>
    <m/>
    <m/>
    <m/>
    <m/>
    <m/>
    <m/>
    <n v="0"/>
    <m/>
  </r>
  <r>
    <s v="Paille en Queue"/>
    <x v="1"/>
    <x v="1"/>
    <x v="4"/>
    <s v="PRLC 0138"/>
    <s v="YFR"/>
    <s v="VAF"/>
    <x v="0"/>
    <m/>
    <m/>
    <s v="servitude EP à faire : délib CM transmise au notaire qui doit faire un projet de servitude_x000a_rétrocéder voirie : BJE doit faire DA / DOE transmis à Commune"/>
    <m/>
    <m/>
    <m/>
    <n v="3000"/>
    <n v="200500"/>
    <n v="112930"/>
    <n v="20050"/>
    <n v="66.833333333333329"/>
    <n v="37.643333333333331"/>
    <n v="120.70587229312298"/>
    <n v="11293"/>
    <n v="300"/>
    <n v="691.97"/>
    <n v="33.333333333333336"/>
    <s v="UD"/>
    <n v="850"/>
    <n v="0.3"/>
    <x v="0"/>
    <n v="10"/>
    <n v="10"/>
    <m/>
    <n v="10"/>
    <m/>
    <m/>
    <n v="930.18000000000006"/>
    <n v="935.58"/>
    <n v="93.018000000000001"/>
    <n v="93.558000000000007"/>
    <n v="4.87"/>
    <n v="4.84"/>
    <n v="453.23"/>
    <m/>
    <m/>
    <n v="0.3"/>
    <n v="0.5"/>
    <n v="0.2"/>
    <n v="884"/>
    <n v="91"/>
    <n v="3.0333333333333334E-2"/>
    <n v="1.5"/>
    <s v="MDV"/>
    <s v="non"/>
    <m/>
    <m/>
    <m/>
    <m/>
    <m/>
    <m/>
    <d v="2012-02-24T00:00:00"/>
    <m/>
    <d v="2012-03-30T00:00:00"/>
    <d v="2012-09-27T00:00:00"/>
    <m/>
    <n v="6.0333333333333332"/>
    <m/>
    <m/>
    <d v="2012-12-13T00:00:00"/>
    <m/>
    <m/>
    <d v="2013-03-13T00:00:00"/>
    <m/>
    <d v="2013-04-01T00:00:00"/>
    <d v="2015-04-01T00:00:00"/>
    <n v="41370"/>
    <s v="oui"/>
    <n v="-6.3666666666666663"/>
    <s v="0"/>
    <n v="41370"/>
    <m/>
    <m/>
    <m/>
    <s v="0"/>
    <m/>
    <m/>
    <s v="0"/>
    <m/>
    <m/>
    <s v="0"/>
    <m/>
    <m/>
    <s v="0"/>
    <m/>
    <m/>
    <s v="0"/>
    <m/>
    <m/>
    <m/>
    <m/>
    <s v="0"/>
    <m/>
    <x v="14"/>
    <x v="4"/>
    <n v="9.0666666666666664"/>
    <s v="0"/>
    <n v="14"/>
    <n v="26"/>
    <m/>
    <m/>
    <s v="0"/>
    <m/>
    <m/>
    <s v="0"/>
    <m/>
    <d v="2020-04-29T00:00:00"/>
    <s v="0"/>
    <m/>
    <m/>
    <s v="0"/>
    <m/>
    <m/>
    <s v="0"/>
    <m/>
    <m/>
    <s v="0"/>
    <m/>
    <m/>
    <s v="0"/>
    <m/>
    <m/>
    <m/>
    <d v="2014-08-26T00:00:00"/>
    <d v="2015-09-18T00:00:00"/>
    <n v="12.933333333333334"/>
    <m/>
    <m/>
    <d v="2015-10-08T00:00:00"/>
    <s v="ok"/>
    <d v="2015-09-30T00:00:00"/>
    <m/>
    <d v="2014-09-26T00:00:00"/>
    <x v="15"/>
    <x v="5"/>
    <n v="12.6"/>
    <n v="4669.3061346209588"/>
    <n v="58833.257296224081"/>
    <m/>
    <m/>
    <n v="179385.62"/>
    <m/>
    <m/>
    <m/>
    <n v="0"/>
    <m/>
    <s v="Lot Peinture : LSR par Marine Peinture_x000a_Lot ECS : Ersec par Gaia_x000a_Lot Plomb : Ersec par PSVR_x000a_Lot Cloison : CIOI par Austral Placo_x000a_Lot Charpente : CSMD par HJP_x000a_Lot Metallerie : CSMD par HJP_x000a_Lot Revetement Dur : PSOI par TPMIB_x000a_Soit 7 lots sur 15 soit 45 %_x000a_2 RO"/>
    <m/>
    <m/>
    <d v="1901-12-31T00:00:00"/>
    <s v="ok"/>
    <m/>
    <s v="ok"/>
    <s v="ok"/>
    <s v="ok"/>
    <s v="ok"/>
    <d v="2016-09-18T00:00:00"/>
    <m/>
    <d v="2015-11-03T00:00:00"/>
    <s v="07/12/2015_x000a_15/03/16"/>
    <m/>
    <s v="ok"/>
    <d v="2017-02-15T00:00:00"/>
    <d v="2017-02-15T00:00:00"/>
    <m/>
    <s v="dossier chez OFOI 08/03/2017"/>
    <s v="à déposer"/>
    <d v="2017-03-14T00:00:00"/>
    <s v="ok"/>
    <d v="2018-04-24T00:00:00"/>
    <s v="ok"/>
    <n v="1723671"/>
    <n v="2108085.62"/>
    <n v="2108085.62"/>
    <n v="2108085.62"/>
    <n v="165000"/>
    <n v="2253.2392954103339"/>
    <n v="210808.56200000001"/>
    <n v="553441"/>
    <m/>
    <n v="55344.1"/>
    <n v="1110259"/>
    <n v="257996"/>
    <n v="852263"/>
    <n v="111025.9"/>
    <n v="100000"/>
    <n v="165000"/>
    <m/>
    <n v="7.8270065710139419E-2"/>
    <m/>
    <m/>
    <n v="0"/>
    <n v="16500"/>
    <n v="71844.100000000006"/>
    <n v="666201.89926500001"/>
    <n v="200000"/>
    <e v="#REF!"/>
    <n v="206916.91"/>
    <n v="112535.791"/>
    <n v="0.42322822103740099"/>
    <n v="115301.53"/>
    <m/>
    <n v="179385.62"/>
    <m/>
    <n v="0"/>
    <n v="2108085.62"/>
    <n v="2108085.62"/>
    <m/>
    <m/>
    <n v="165000"/>
    <n v="0"/>
    <m/>
    <m/>
    <m/>
    <m/>
    <n v="0"/>
    <m/>
    <m/>
    <m/>
    <m/>
    <m/>
    <m/>
    <n v="0"/>
    <m/>
  </r>
  <r>
    <s v="FANJAN (Ilot 6.2)"/>
    <x v="7"/>
    <x v="0"/>
    <x v="3"/>
    <s v="PRLC 0157"/>
    <s v="MTG"/>
    <s v="DBE"/>
    <x v="2"/>
    <m/>
    <m/>
    <m/>
    <s v="SODEGIS"/>
    <s v="QUINOT"/>
    <m/>
    <n v="1263"/>
    <n v="126500"/>
    <n v="126500"/>
    <n v="7027.7777777777774"/>
    <n v="100.15835312747427"/>
    <n v="100.15835312747427"/>
    <n v="86.456710134230022"/>
    <n v="7027.7777777777774"/>
    <n v="70.166666666666671"/>
    <m/>
    <n v="142.51781472684087"/>
    <m/>
    <m/>
    <m/>
    <x v="0"/>
    <n v="18"/>
    <n v="18"/>
    <m/>
    <n v="18"/>
    <m/>
    <m/>
    <n v="1306.4099999999999"/>
    <n v="1463.16"/>
    <n v="72.578333333333319"/>
    <n v="81.286666666666676"/>
    <n v="5.86"/>
    <n v="5.23"/>
    <n v="425.19"/>
    <n v="0"/>
    <n v="0.33333333333333331"/>
    <n v="0.33333333333333331"/>
    <n v="0.33333333333333331"/>
    <n v="0"/>
    <m/>
    <n v="0"/>
    <n v="0"/>
    <n v="3"/>
    <s v="collectif"/>
    <s v="oui"/>
    <m/>
    <m/>
    <m/>
    <m/>
    <d v="2015-02-12T00:00:00"/>
    <m/>
    <m/>
    <m/>
    <d v="2015-03-30T00:00:00"/>
    <d v="2015-10-21T00:00:00"/>
    <m/>
    <n v="6.833333333333333"/>
    <s v="x"/>
    <d v="2017-05-30T00:00:00"/>
    <d v="2017-07-13T00:00:00"/>
    <n v="1.4666666666666666"/>
    <n v="66468"/>
    <d v="2017-10-05T00:00:00"/>
    <d v="2017-08-10T00:00:00"/>
    <d v="2017-11-01T00:00:00"/>
    <d v="2019-11-01T00:00:00"/>
    <n v="69930"/>
    <s v="non"/>
    <n v="2.9333333333333331"/>
    <n v="22661.466666666664"/>
    <n v="47268.53333333334"/>
    <d v="2014-11-20T00:00:00"/>
    <d v="2014-11-12T00:00:00"/>
    <d v="2014-11-12T00:00:00"/>
    <n v="0"/>
    <d v="2015-02-06T00:00:00"/>
    <d v="2015-01-08T00:00:00"/>
    <n v="-29"/>
    <d v="2015-01-29T00:00:00"/>
    <d v="2015-01-29T00:00:00"/>
    <n v="0"/>
    <d v="2015-04-15T00:00:00"/>
    <d v="2015-04-15T00:00:00"/>
    <n v="0"/>
    <d v="2015-06-19T00:00:00"/>
    <d v="2015-06-19T00:00:00"/>
    <n v="0"/>
    <m/>
    <d v="2016-04-12T00:00:00"/>
    <d v="2016-05-12T00:00:00"/>
    <d v="2017-12-19T00:00:00"/>
    <n v="586"/>
    <d v="2018-01-12T00:00:00"/>
    <x v="15"/>
    <x v="2"/>
    <n v="27.466666666666665"/>
    <n v="10"/>
    <n v="15"/>
    <n v="17"/>
    <m/>
    <d v="2018-04-15T00:00:00"/>
    <s v="0"/>
    <m/>
    <d v="2018-05-02T00:00:00"/>
    <s v="0"/>
    <d v="2018-10-02T00:00:00"/>
    <d v="2018-11-15T00:00:00"/>
    <n v="44"/>
    <d v="2018-11-08T00:00:00"/>
    <d v="2018-12-11T00:00:00"/>
    <n v="33"/>
    <d v="2018-11-23T00:00:00"/>
    <d v="2018-11-08T00:00:00"/>
    <n v="-15"/>
    <d v="2018-12-13T00:00:00"/>
    <d v="2019-01-30T00:00:00"/>
    <n v="48"/>
    <d v="2019-03-28T00:00:00"/>
    <d v="2019-05-22T00:00:00"/>
    <n v="55"/>
    <m/>
    <m/>
    <d v="2019-05-14T00:00:00"/>
    <d v="2019-04-22T00:00:00"/>
    <d v="2019-06-26T00:00:00"/>
    <n v="2.1666666666666665"/>
    <n v="0"/>
    <d v="2020-05-02T00:00:00"/>
    <d v="2019-07-25T00:00:00"/>
    <d v="2018-09-05T00:00:00"/>
    <d v="2019-06-14T00:00:00"/>
    <d v="2019-06-18T00:00:00"/>
    <d v="2019-05-22T00:00:00"/>
    <x v="16"/>
    <x v="2"/>
    <n v="2.5"/>
    <n v="7725.5"/>
    <n v="19313.75"/>
    <m/>
    <n v="0"/>
    <n v="0"/>
    <n v="115573"/>
    <n v="96000"/>
    <m/>
    <n v="0"/>
    <s v="JMO / AGA / FVA"/>
    <s v="Lot étanchéité"/>
    <s v="1 MOIS = GILETS JAUNES_x000a_1 MOIS = MARGE DE SECURITE"/>
    <s v="passage en crédit d'impôt"/>
    <d v="2020-05-02T00:00:00"/>
    <d v="2019-07-03T00:00:00"/>
    <m/>
    <m/>
    <m/>
    <d v="2019-10-30T00:00:00"/>
    <s v="envoyé 03/09/19"/>
    <d v="2020-06-26T00:00:00"/>
    <m/>
    <m/>
    <d v="2019-12-16T00:00:00"/>
    <d v="2019-12-13T00:00:00"/>
    <m/>
    <m/>
    <m/>
    <m/>
    <s v="SO"/>
    <m/>
    <m/>
    <m/>
    <m/>
    <m/>
    <m/>
    <n v="2921152.5218066997"/>
    <n v="2921152.5218066997"/>
    <n v="2921152.5218066997"/>
    <n v="377485"/>
    <n v="1996.468275381161"/>
    <n v="162286.25121148332"/>
    <n v="885688.52180669981"/>
    <n v="866176"/>
    <n v="49204.917878149987"/>
    <n v="1657979"/>
    <n v="261692"/>
    <n v="1396287"/>
    <n v="92109.944444444438"/>
    <m/>
    <n v="360000"/>
    <m/>
    <n v="0.12323902888074605"/>
    <m/>
    <m/>
    <n v="17485"/>
    <n v="20000"/>
    <n v="69204.91787814998"/>
    <n v="0"/>
    <n v="0"/>
    <n v="69204.91787814998"/>
    <n v="0"/>
    <n v="69204.91787814998"/>
    <n v="0.42643734365374919"/>
    <n v="0"/>
    <m/>
    <n v="0"/>
    <n v="2289749.1799699995"/>
    <n v="0.78385129255552033"/>
    <n v="631403.34183670022"/>
    <n v="631403.34183670022"/>
    <n v="1"/>
    <n v="308750.63"/>
    <n v="68734.37"/>
    <n v="0.81791496350848381"/>
    <m/>
    <m/>
    <m/>
    <m/>
    <n v="0"/>
    <m/>
    <m/>
    <m/>
    <m/>
    <m/>
    <m/>
    <n v="0"/>
    <m/>
  </r>
  <r>
    <s v="Hélène TONRU (RPA mixte St Philippe)"/>
    <x v="8"/>
    <x v="2"/>
    <x v="3"/>
    <s v="PRLC 0174"/>
    <s v="FHO"/>
    <s v="MMA"/>
    <x v="2"/>
    <m/>
    <m/>
    <s v="acte signé 30/11/15_x000a_voie à détacher : en cours_x000a_"/>
    <s v="EPFR"/>
    <s v="MOUTIEN"/>
    <m/>
    <n v="3547"/>
    <n v="319230"/>
    <n v="132491.5"/>
    <n v="16801.57894736842"/>
    <n v="90"/>
    <n v="37.353115308711587"/>
    <n v="110.26440187087003"/>
    <n v="6973.2368421052633"/>
    <n v="186.68421052631578"/>
    <m/>
    <n v="53.566394135889482"/>
    <s v="UA"/>
    <n v="30"/>
    <m/>
    <x v="0"/>
    <n v="19"/>
    <n v="19"/>
    <m/>
    <n v="19"/>
    <m/>
    <m/>
    <n v="1201.58"/>
    <n v="1201.58"/>
    <n v="63.241052631578945"/>
    <n v="63.241052631578945"/>
    <n v="5.65"/>
    <n v="5.65"/>
    <n v="357.37715014736841"/>
    <n v="0"/>
    <n v="0.68421052631578949"/>
    <n v="0.26315789473684209"/>
    <n v="0.10526315789473684"/>
    <n v="0"/>
    <m/>
    <s v="x"/>
    <m/>
    <n v="2"/>
    <s v="collectif"/>
    <s v="non"/>
    <m/>
    <m/>
    <m/>
    <m/>
    <d v="2015-01-27T00:00:00"/>
    <m/>
    <m/>
    <m/>
    <d v="2015-03-30T00:00:00"/>
    <d v="2015-09-01T00:00:00"/>
    <m/>
    <n v="5.166666666666667"/>
    <m/>
    <d v="2016-06-27T00:00:00"/>
    <d v="2016-07-08T00:00:00"/>
    <n v="0.36666666666666664"/>
    <n v="52069"/>
    <s v="06/10/2016_x000a_renvoyé le 04/10/16 à CDC"/>
    <m/>
    <d v="2016-11-01T00:00:00"/>
    <d v="2018-11-01T00:00:00"/>
    <n v="36685"/>
    <s v="oui"/>
    <n v="-7.6333333333333337"/>
    <s v="0"/>
    <n v="36685"/>
    <m/>
    <m/>
    <m/>
    <s v="0"/>
    <m/>
    <m/>
    <s v="0"/>
    <m/>
    <m/>
    <s v="0"/>
    <m/>
    <m/>
    <s v="0"/>
    <m/>
    <m/>
    <s v="0"/>
    <m/>
    <m/>
    <m/>
    <m/>
    <m/>
    <m/>
    <x v="16"/>
    <x v="3"/>
    <n v="23.3"/>
    <s v="0"/>
    <n v="15"/>
    <n v="22"/>
    <d v="2017-11-20T00:00:00"/>
    <d v="2017-12-12T00:00:00"/>
    <n v="22"/>
    <d v="2017-11-20T00:00:00"/>
    <d v="2018-02-13T00:00:00"/>
    <n v="85"/>
    <d v="2018-03-07T00:00:00"/>
    <d v="2018-06-13T00:00:00"/>
    <n v="98"/>
    <d v="2018-04-19T00:00:00"/>
    <d v="2018-09-29T00:00:00"/>
    <n v="163"/>
    <d v="2018-05-09T00:00:00"/>
    <d v="2018-10-17T00:00:00"/>
    <n v="161"/>
    <d v="2018-06-01T00:00:00"/>
    <d v="2018-10-25T00:00:00"/>
    <n v="146"/>
    <d v="2018-07-06T00:00:00"/>
    <d v="2018-12-31T00:00:00"/>
    <n v="178"/>
    <d v="2018-06-01T00:00:00"/>
    <d v="2018-06-01T00:00:00"/>
    <d v="2018-05-04T00:00:00"/>
    <d v="2018-10-31T00:00:00"/>
    <d v="2019-06-07T00:00:00"/>
    <n v="7.3"/>
    <n v="0"/>
    <d v="2020-02-13T00:00:00"/>
    <d v="2019-07-04T00:00:00"/>
    <d v="2018-09-24T00:00:00"/>
    <s v="CAL 23/04"/>
    <d v="2019-06-05T00:00:00"/>
    <d v="2018-12-01T00:00:00"/>
    <x v="17"/>
    <x v="2"/>
    <n v="6.6333333333333337"/>
    <n v="7000.416666666667"/>
    <n v="46436.097222222226"/>
    <m/>
    <n v="66994"/>
    <n v="1994"/>
    <n v="99692.481999999989"/>
    <m/>
    <n v="1791.7937399999998"/>
    <n v="1.4752203123018883E-3"/>
    <s v="FHO"/>
    <s v="Lot carrelage"/>
    <s v="1 MOIS = résiliation lot carrelage_x000a_2 MOIS = SIDELEC_x000a_1 MOIS = 2e période de congés BTP non prévue_x000a_1 MOIS = GILETS JAUNES"/>
    <s v="rétrocession voie d'accès"/>
    <d v="2020-02-13T00:00:00"/>
    <s v="réserves à lever"/>
    <d v="2019-09-23T00:00:00"/>
    <m/>
    <m/>
    <d v="2019-11-13T00:00:00"/>
    <s v="envoyé 10/01/20"/>
    <d v="2020-06-07T00:00:00"/>
    <m/>
    <m/>
    <d v="2019-11-28T00:00:00"/>
    <d v="2020-01-23T00:00:00"/>
    <m/>
    <m/>
    <m/>
    <m/>
    <m/>
    <m/>
    <d v="2019-10-02T00:00:00"/>
    <m/>
    <m/>
    <m/>
    <m/>
    <n v="1214594"/>
    <n v="1214594"/>
    <n v="1214594"/>
    <n v="823453"/>
    <n v="1010.8307395262905"/>
    <n v="63926"/>
    <n v="771141"/>
    <m/>
    <n v="40586.368421052633"/>
    <n v="0"/>
    <n v="334066"/>
    <n v="1025256"/>
    <n v="0"/>
    <m/>
    <n v="420000"/>
    <m/>
    <n v="0.34579456180419138"/>
    <m/>
    <m/>
    <n v="23453"/>
    <n v="22105.263157894737"/>
    <n v="62691.631578947367"/>
    <n v="510850.13361374999"/>
    <n v="380000"/>
    <n v="82691.631578947374"/>
    <n v="0"/>
    <n v="82691.631578947374"/>
    <n v="0.97350933204148948"/>
    <n v="111550"/>
    <m/>
    <m/>
    <n v="2432907.5300000003"/>
    <n v="2.0030623648725419"/>
    <n v="-1218313.5300000003"/>
    <n v="-1218313.5300000003"/>
    <n v="1"/>
    <n v="0"/>
    <n v="823453"/>
    <n v="0"/>
    <m/>
    <m/>
    <m/>
    <m/>
    <n v="0"/>
    <m/>
    <m/>
    <m/>
    <m/>
    <m/>
    <m/>
    <m/>
    <m/>
  </r>
  <r>
    <s v="Kakis"/>
    <x v="9"/>
    <x v="2"/>
    <x v="6"/>
    <s v="PRLC 0181"/>
    <s v="FHO"/>
    <s v="DBE"/>
    <x v="2"/>
    <m/>
    <s v="AO 433"/>
    <s v="terrain acheté_x000a_projet de bornage transmis à FBR"/>
    <m/>
    <m/>
    <m/>
    <n v="8111"/>
    <n v="405550"/>
    <n v="405550"/>
    <n v="11587.142857142857"/>
    <n v="50"/>
    <n v="50"/>
    <n v="175.00668870342719"/>
    <n v="11587.142857142857"/>
    <n v="231.74285714285713"/>
    <m/>
    <n v="43.151276044877328"/>
    <s v="AUC14"/>
    <n v="450"/>
    <m/>
    <x v="0"/>
    <n v="35"/>
    <n v="35"/>
    <m/>
    <n v="35"/>
    <m/>
    <m/>
    <n v="2317.34"/>
    <n v="2317.34"/>
    <n v="66.209714285714284"/>
    <n v="66.209714285714284"/>
    <n v="5.64"/>
    <n v="5.57"/>
    <n v="368.79"/>
    <n v="0.22857142857142856"/>
    <n v="0.22857142857142856"/>
    <n v="0.22857142857142856"/>
    <n v="0.31428571428571428"/>
    <m/>
    <m/>
    <m/>
    <m/>
    <m/>
    <s v="collectif"/>
    <s v="non"/>
    <m/>
    <m/>
    <m/>
    <m/>
    <d v="2016-01-27T00:00:00"/>
    <m/>
    <d v="2016-04-15T00:00:00"/>
    <m/>
    <d v="2016-03-30T00:00:00"/>
    <d v="2016-10-17T00:00:00"/>
    <m/>
    <n v="6.7"/>
    <s v="x"/>
    <d v="2017-05-31T00:00:00"/>
    <d v="2017-07-13T00:00:00"/>
    <n v="1.4333333333333333"/>
    <n v="66467"/>
    <d v="2017-10-05T00:00:00"/>
    <d v="2017-08-10T00:00:00"/>
    <d v="2017-11-01T00:00:00"/>
    <d v="2019-11-01T00:00:00"/>
    <n v="120190"/>
    <s v="non"/>
    <n v="1.2666666666666666"/>
    <n v="16842.866666666665"/>
    <n v="103347.13333333333"/>
    <d v="2015-10-19T00:00:00"/>
    <d v="2015-10-30T00:00:00"/>
    <d v="2015-10-19T00:00:00"/>
    <n v="-11"/>
    <d v="2016-02-12T00:00:00"/>
    <d v="2016-02-12T00:00:00"/>
    <n v="0"/>
    <d v="2016-03-29T00:00:00"/>
    <d v="2016-08-11T00:00:00"/>
    <n v="135"/>
    <d v="2016-10-12T00:00:00"/>
    <d v="2016-11-09T00:00:00"/>
    <n v="28"/>
    <d v="2017-02-13T00:00:00"/>
    <d v="2017-06-06T00:00:00"/>
    <n v="113"/>
    <m/>
    <d v="2018-01-23T00:00:00"/>
    <d v="2018-02-09T00:00:00"/>
    <d v="2018-03-01T00:00:00"/>
    <n v="20"/>
    <d v="2018-02-23T00:00:00"/>
    <x v="17"/>
    <x v="2"/>
    <n v="16.8"/>
    <n v="10"/>
    <n v="14"/>
    <n v="18"/>
    <d v="2018-06-12T00:00:00"/>
    <d v="2018-07-11T00:00:00"/>
    <n v="29"/>
    <d v="2018-07-06T00:00:00"/>
    <d v="2018-09-12T00:00:00"/>
    <n v="68"/>
    <d v="2018-10-01T00:00:00"/>
    <d v="2018-12-15T00:00:00"/>
    <n v="75"/>
    <d v="2019-02-21T00:00:00"/>
    <d v="2019-06-06T00:00:00"/>
    <n v="105"/>
    <d v="2019-02-21T00:00:00"/>
    <d v="2020-04-29T00:00:00"/>
    <n v="433"/>
    <d v="2019-03-04T00:00:00"/>
    <d v="2020-04-29T00:00:00"/>
    <n v="422"/>
    <d v="2019-05-08T00:00:00"/>
    <d v="2020-04-29T00:00:00"/>
    <n v="357"/>
    <d v="2019-03-18T00:00:00"/>
    <d v="2019-03-18T00:00:00"/>
    <d v="2019-03-22T00:00:00"/>
    <d v="2019-05-05T00:00:00"/>
    <d v="2019-09-24T00:00:00"/>
    <n v="4.7333333333333334"/>
    <n v="0"/>
    <d v="2020-09-12T00:00:00"/>
    <d v="2019-10-11T00:00:00"/>
    <d v="2018-09-05T00:00:00"/>
    <d v="2019-09-12T00:00:00"/>
    <m/>
    <d v="2019-06-05T00:00:00"/>
    <x v="18"/>
    <x v="2"/>
    <n v="3.7"/>
    <n v="13297"/>
    <n v="49198.9"/>
    <d v="2019-09-05T00:00:00"/>
    <n v="0"/>
    <n v="0"/>
    <n v="124561.99999999999"/>
    <m/>
    <n v="0"/>
    <n v="0"/>
    <m/>
    <m/>
    <s v="1 MOIS = GILETS JAUNES_x000a_1 MOIS = MARGE DE SECURITE"/>
    <s v="FT réceptionné_x000a_compteurs EDF posés_x000a_reste compteurs AEP à poser"/>
    <d v="2020-09-12T00:00:00"/>
    <m/>
    <s v="transmis GL"/>
    <m/>
    <m/>
    <d v="2020-02-13T00:00:00"/>
    <s v="envoi 10/02/20"/>
    <d v="2020-09-24T00:00:00"/>
    <m/>
    <m/>
    <d v="2019-12-17T00:00:00"/>
    <d v="2020-01-20T00:00:00"/>
    <m/>
    <m/>
    <m/>
    <m/>
    <m/>
    <m/>
    <m/>
    <m/>
    <m/>
    <m/>
    <m/>
    <n v="5373790.1865710132"/>
    <n v="5373790.1865710132"/>
    <n v="5373790.1865710132"/>
    <n v="1043780"/>
    <n v="2318.9476669677356"/>
    <n v="153536.86247345753"/>
    <n v="1569551.1865710132"/>
    <n v="1629529"/>
    <n v="44844.319616314664"/>
    <n v="2760459"/>
    <n v="738771"/>
    <n v="2021688"/>
    <n v="78870.257142857139"/>
    <m/>
    <n v="945000"/>
    <m/>
    <n v="0.175853534877773"/>
    <m/>
    <m/>
    <n v="98780"/>
    <n v="27000"/>
    <n v="71844.319616314664"/>
    <m/>
    <m/>
    <n v="71844.319616314664"/>
    <m/>
    <n v="71844.319616314664"/>
    <n v="0.46792879871916526"/>
    <m/>
    <m/>
    <n v="0"/>
    <n v="3536127.0096999984"/>
    <n v="0.65803220574869192"/>
    <n v="1837663.1768710148"/>
    <n v="1837663.1768710148"/>
    <n v="1"/>
    <n v="8804812.7300000004"/>
    <n v="-7761032.7300000004"/>
    <n v="8.4355062656881721"/>
    <m/>
    <m/>
    <m/>
    <m/>
    <n v="0"/>
    <m/>
    <m/>
    <m/>
    <m/>
    <m/>
    <m/>
    <m/>
    <m/>
  </r>
  <r>
    <s v="Benoite Boulard (PIVET-VELIN)"/>
    <x v="2"/>
    <x v="2"/>
    <x v="5"/>
    <s v="PRLC 0147"/>
    <s v="YFR"/>
    <s v="DAM"/>
    <x v="0"/>
    <m/>
    <m/>
    <m/>
    <s v="Pivet-Velin"/>
    <s v="AUBERT"/>
    <d v="2013-12-11T00:00:00"/>
    <n v="5146"/>
    <n v="1069200"/>
    <n v="1069200"/>
    <n v="19800"/>
    <n v="207.77302759424796"/>
    <n v="207.77302759424796"/>
    <n v="233.10530125478914"/>
    <n v="19800"/>
    <n v="95.296296296296291"/>
    <n v="2205.9499999999998"/>
    <n v="104.93587252234745"/>
    <s v="UA"/>
    <n v="570"/>
    <n v="0.15"/>
    <x v="1"/>
    <n v="54"/>
    <n v="54"/>
    <n v="54"/>
    <m/>
    <m/>
    <m/>
    <n v="3955.3599999999983"/>
    <n v="4586.7682727272741"/>
    <n v="73.24740740740738"/>
    <n v="84.940153198653221"/>
    <n v="7.36"/>
    <n v="6.35"/>
    <n v="539.26"/>
    <m/>
    <m/>
    <m/>
    <m/>
    <m/>
    <m/>
    <n v="0"/>
    <n v="0"/>
    <s v="4/5"/>
    <s v="collectif"/>
    <s v="oui"/>
    <m/>
    <m/>
    <m/>
    <m/>
    <d v="2012-11-20T00:00:00"/>
    <m/>
    <d v="2013-03-15T00:00:00"/>
    <m/>
    <d v="2013-03-30T00:00:00"/>
    <d v="2013-07-11T00:00:00"/>
    <m/>
    <n v="3.4333333333333331"/>
    <m/>
    <d v="2013-10-03T00:00:00"/>
    <d v="2013-10-29T00:00:00"/>
    <n v="0.8666666666666667"/>
    <m/>
    <d v="2014-01-29T00:00:00"/>
    <m/>
    <d v="2014-02-01T00:00:00"/>
    <d v="2016-02-01T00:00:00"/>
    <n v="209057"/>
    <s v="oui"/>
    <n v="-22.666666666666668"/>
    <s v="0"/>
    <n v="209057"/>
    <m/>
    <m/>
    <m/>
    <s v="0"/>
    <m/>
    <m/>
    <s v="0"/>
    <m/>
    <m/>
    <s v="0"/>
    <m/>
    <m/>
    <s v="0"/>
    <m/>
    <m/>
    <s v="0"/>
    <m/>
    <m/>
    <m/>
    <m/>
    <s v="0"/>
    <m/>
    <x v="18"/>
    <x v="6"/>
    <n v="9.9333333333333336"/>
    <s v="0"/>
    <n v="15"/>
    <n v="43"/>
    <m/>
    <m/>
    <s v="0"/>
    <m/>
    <m/>
    <s v="0"/>
    <m/>
    <m/>
    <s v="0"/>
    <m/>
    <m/>
    <s v="0"/>
    <m/>
    <m/>
    <s v="0"/>
    <m/>
    <m/>
    <s v="0"/>
    <m/>
    <m/>
    <s v="0"/>
    <m/>
    <m/>
    <m/>
    <d v="2015-08-05T00:00:00"/>
    <d v="2017-12-07T00:00:00"/>
    <n v="28.5"/>
    <m/>
    <m/>
    <d v="2018-01-31T00:00:00"/>
    <d v="2016-06-06T00:00:00"/>
    <d v="2017-11-27T00:00:00"/>
    <m/>
    <d v="2015-09-05T00:00:00"/>
    <x v="19"/>
    <x v="4"/>
    <n v="27.633333333333333"/>
    <n v="30520.815629938501"/>
    <n v="843391.87190730055"/>
    <d v="2017-08-23T00:00:00"/>
    <n v="0"/>
    <n v="222887"/>
    <m/>
    <m/>
    <n v="173911.66743999999"/>
    <n v="1.666655653230081E-2"/>
    <m/>
    <s v="Lot Men Ext_x000a_Lot Charpente_x000a_Lot ECS_x000a_Soit 3 sur 17 lots = 17 %_x000a_2 RO"/>
    <m/>
    <m/>
    <d v="1901-12-31T00:00:00"/>
    <s v="ok"/>
    <d v="2018-03-07T00:00:00"/>
    <m/>
    <m/>
    <d v="2018-07-16T00:00:00"/>
    <d v="2019-10-29T00:00:00"/>
    <d v="2018-12-07T00:00:00"/>
    <n v="280724"/>
    <d v="2018-02-21T00:00:00"/>
    <d v="2018-03-27T00:00:00"/>
    <m/>
    <m/>
    <m/>
    <d v="2018-04-27T00:00:00"/>
    <m/>
    <s v="envoi INGEPAR 18/01/19"/>
    <m/>
    <d v="2018-07-06T00:00:00"/>
    <s v="ok"/>
    <m/>
    <m/>
    <n v="9099071"/>
    <n v="10434769"/>
    <n v="10434769"/>
    <n v="10434769"/>
    <n v="17351"/>
    <n v="2274.9719147672417"/>
    <n v="193236.46296296295"/>
    <n v="3287400"/>
    <m/>
    <n v="60877.777777777781"/>
    <n v="5918673"/>
    <n v="1256197"/>
    <n v="4662476"/>
    <n v="109605.05555555556"/>
    <n v="822995"/>
    <n v="1"/>
    <m/>
    <n v="9.5833458316135224E-8"/>
    <n v="0"/>
    <m/>
    <n v="17350"/>
    <n v="1.8518518518518517E-2"/>
    <n v="60877.796296296299"/>
    <m/>
    <m/>
    <n v="60877.796296296299"/>
    <n v="0"/>
    <n v="60877.796296296299"/>
    <n v="0.31504300670192126"/>
    <m/>
    <m/>
    <n v="388350"/>
    <m/>
    <n v="0"/>
    <n v="10434769"/>
    <n v="10434769"/>
    <m/>
    <m/>
    <n v="17351"/>
    <n v="0"/>
    <m/>
    <n v="1270612.5"/>
    <n v="1069200"/>
    <n v="685910.97"/>
    <n v="6501522.5099999998"/>
    <n v="3278983.33"/>
    <n v="583458.17999999993"/>
    <n v="238242"/>
    <n v="1441010"/>
    <n v="959829"/>
    <n v="1522741"/>
    <n v="9980786.9800000004"/>
    <m/>
  </r>
  <r>
    <s v="Manapany "/>
    <x v="4"/>
    <x v="2"/>
    <x v="7"/>
    <s v="PRLC 0111"/>
    <s v="FHO"/>
    <s v="VAF"/>
    <x v="0"/>
    <s v="oui"/>
    <m/>
    <s v="terrains achetés_x000a_PA obtenu"/>
    <s v="Commune / MOREL"/>
    <s v="AUBERT"/>
    <m/>
    <n v="7020"/>
    <n v="577000"/>
    <n v="173455"/>
    <n v="27476.190476190477"/>
    <n v="82.193732193732188"/>
    <n v="24.708689458689459"/>
    <n v="113.95918742773048"/>
    <n v="8259.7619047619046"/>
    <n v="334.28571428571428"/>
    <m/>
    <n v="29.914529914529915"/>
    <s v="NAUC"/>
    <n v="40"/>
    <m/>
    <x v="0"/>
    <n v="21"/>
    <n v="21"/>
    <m/>
    <n v="21"/>
    <m/>
    <m/>
    <n v="1522.08"/>
    <n v="1522.08"/>
    <n v="72.47999999999999"/>
    <n v="72.47999999999999"/>
    <n v="5.41"/>
    <n v="5.41"/>
    <n v="392.41"/>
    <n v="0"/>
    <n v="7"/>
    <n v="8"/>
    <n v="5"/>
    <n v="1"/>
    <m/>
    <m/>
    <n v="0"/>
    <n v="1"/>
    <s v="MDV"/>
    <s v="non"/>
    <m/>
    <m/>
    <m/>
    <m/>
    <d v="2013-06-13T00:00:00"/>
    <m/>
    <d v="2012-02-24T00:00:00"/>
    <m/>
    <d v="2014-03-30T00:00:00"/>
    <d v="2014-07-28T00:00:00"/>
    <d v="2017-10-02T00:00:00"/>
    <n v="4"/>
    <s v="x"/>
    <d v="2016-06-06T00:00:00"/>
    <d v="2016-08-12T00:00:00"/>
    <n v="2.2333333333333334"/>
    <m/>
    <d v="2016-11-12T00:00:00"/>
    <m/>
    <d v="2017-01-01T00:00:00"/>
    <d v="2019-01-01T00:00:00"/>
    <n v="83164"/>
    <s v="oui"/>
    <n v="-5.9666666666666668"/>
    <s v="0"/>
    <n v="83164"/>
    <m/>
    <m/>
    <m/>
    <s v="0"/>
    <m/>
    <m/>
    <s v="0"/>
    <m/>
    <m/>
    <s v="0"/>
    <m/>
    <m/>
    <s v="0"/>
    <m/>
    <m/>
    <s v="0"/>
    <m/>
    <m/>
    <m/>
    <m/>
    <m/>
    <m/>
    <x v="19"/>
    <x v="3"/>
    <n v="36.166666666666664"/>
    <s v="0"/>
    <n v="15"/>
    <n v="19"/>
    <d v="2017-08-18T00:00:00"/>
    <d v="2017-10-30T00:00:00"/>
    <n v="73"/>
    <d v="2018-06-15T00:00:00"/>
    <d v="2018-07-03T00:00:00"/>
    <n v="18"/>
    <d v="2018-07-13T00:00:00"/>
    <d v="2018-07-19T00:00:00"/>
    <n v="6"/>
    <d v="2018-08-24T00:00:00"/>
    <d v="2018-09-15T00:00:00"/>
    <n v="22"/>
    <d v="2018-08-29T00:00:00"/>
    <d v="2018-10-16T00:00:00"/>
    <n v="48"/>
    <d v="2018-09-12T00:00:00"/>
    <d v="2018-10-16T00:00:00"/>
    <n v="34"/>
    <d v="2018-10-03T00:00:00"/>
    <d v="2019-05-31T00:00:00"/>
    <n v="240"/>
    <d v="2018-08-03T00:00:00"/>
    <d v="2018-08-03T00:00:00"/>
    <d v="2018-08-03T00:00:00"/>
    <d v="2018-10-17T00:00:00"/>
    <d v="2019-03-01T00:00:00"/>
    <n v="4.5"/>
    <n v="0"/>
    <d v="2020-07-03T00:00:00"/>
    <d v="2019-07-09T00:00:00"/>
    <d v="2018-09-24T00:00:00"/>
    <d v="2019-06-06T00:00:00"/>
    <d v="2019-06-11T00:00:00"/>
    <d v="2018-11-17T00:00:00"/>
    <x v="20"/>
    <x v="2"/>
    <n v="7.4666666666666668"/>
    <n v="8374.9915219489994"/>
    <n v="62533.270030552529"/>
    <m/>
    <n v="368628"/>
    <n v="331830"/>
    <s v="80659_x000a_31 478 FRAFU"/>
    <n v="0"/>
    <n v="0"/>
    <n v="0"/>
    <s v="FHO"/>
    <s v="Lot carrelage "/>
    <s v="1 MOIS = pb effectif Gros Œuvre / avancement  plaquiste + retards de paiement SODEGIS_x000a_3 MOIS = SIDELEC_x000a_2 SEMAINES = GILETS JAUNES"/>
    <s v="montage technico financier complexe / reprise d'études MOE à la demande du Maire / recherche de solutions pour minimiser les fonds propres (négociation foncière avec un propriétaire foncier pour réalisation de lots à batir en dation)_x000a_nombreux retards de paiement de la DAF (JM Plomberie, gros oeuvre)"/>
    <d v="2020-07-03T00:00:00"/>
    <s v="ok"/>
    <s v="transmis 15/07 à GL"/>
    <m/>
    <m/>
    <s v="11/02/20_x000a_15/11/19"/>
    <s v="envoi 28/11/19"/>
    <d v="2020-03-01T00:00:00"/>
    <m/>
    <m/>
    <d v="2019-12-17T00:00:00"/>
    <d v="2020-01-20T00:00:00"/>
    <m/>
    <m/>
    <m/>
    <m/>
    <m/>
    <m/>
    <m/>
    <m/>
    <m/>
    <m/>
    <m/>
    <n v="3782523.95"/>
    <n v="4645122.73135"/>
    <n v="4645122.73135"/>
    <n v="1064396.2"/>
    <n v="3051.8256145209189"/>
    <n v="221196.32054047618"/>
    <n v="1233885.81"/>
    <n v="1268847"/>
    <n v="58756.467142857146"/>
    <n v="1784577"/>
    <n v="599672"/>
    <n v="1184905"/>
    <n v="84979.857142857145"/>
    <m/>
    <n v="442750"/>
    <n v="0"/>
    <n v="9.5315027310661549E-2"/>
    <m/>
    <m/>
    <n v="14424"/>
    <n v="21083.333333333332"/>
    <n v="79839.800476190474"/>
    <n v="1039697"/>
    <n v="315000"/>
    <n v="94839.800476190474"/>
    <n v="292222.2"/>
    <n v="108755.14333333334"/>
    <n v="0.41466475832769645"/>
    <n v="177098.21865"/>
    <m/>
    <n v="306887.14"/>
    <n v="3796748.6075499998"/>
    <n v="0.81736238784945103"/>
    <n v="848374.12380000018"/>
    <n v="848374.12380000018"/>
    <n v="1"/>
    <n v="689078.94"/>
    <n v="375317.26"/>
    <n v="0.64738951529515043"/>
    <m/>
    <m/>
    <m/>
    <m/>
    <n v="0"/>
    <m/>
    <m/>
    <m/>
    <m/>
    <m/>
    <m/>
    <n v="0"/>
    <m/>
  </r>
  <r>
    <s v="VEFA CROUS St Pierre"/>
    <x v="3"/>
    <x v="0"/>
    <x v="2"/>
    <s v="PRLC 0193"/>
    <s v="MTG"/>
    <s v="VAF"/>
    <x v="2"/>
    <m/>
    <s v="EN 1337 p"/>
    <m/>
    <m/>
    <m/>
    <m/>
    <n v="3474"/>
    <n v="1"/>
    <m/>
    <n v="5.0000000000000001E-3"/>
    <n v="2.878526194588371E-4"/>
    <n v="0"/>
    <n v="0"/>
    <n v="0"/>
    <n v="17.37"/>
    <m/>
    <n v="575.70523891767414"/>
    <m/>
    <n v="70"/>
    <m/>
    <x v="3"/>
    <n v="200"/>
    <n v="200"/>
    <m/>
    <m/>
    <n v="200"/>
    <m/>
    <n v="3391.22"/>
    <n v="4050.95"/>
    <n v="16.956099999999999"/>
    <n v="20.254749999999998"/>
    <m/>
    <m/>
    <m/>
    <m/>
    <m/>
    <m/>
    <m/>
    <m/>
    <m/>
    <m/>
    <m/>
    <m/>
    <s v="collectif"/>
    <s v="oui"/>
    <m/>
    <m/>
    <n v="0"/>
    <m/>
    <m/>
    <m/>
    <m/>
    <m/>
    <d v="2017-03-30T00:00:00"/>
    <d v="2017-10-16T00:00:00"/>
    <m/>
    <n v="6.666666666666667"/>
    <s v="x"/>
    <d v="2017-11-16T00:00:00"/>
    <d v="2017-12-05T00:00:00"/>
    <n v="0.6333333333333333"/>
    <n v="72311"/>
    <d v="2018-03-05T00:00:00"/>
    <m/>
    <d v="2018-04-01T00:00:00"/>
    <d v="2020-04-01T00:00:00"/>
    <n v="338981"/>
    <s v="non"/>
    <n v="7.5"/>
    <n v="0"/>
    <n v="338981"/>
    <m/>
    <m/>
    <m/>
    <s v="0"/>
    <m/>
    <m/>
    <s v="0"/>
    <m/>
    <m/>
    <s v="0"/>
    <m/>
    <m/>
    <s v="0"/>
    <m/>
    <m/>
    <s v="0"/>
    <m/>
    <m/>
    <m/>
    <m/>
    <m/>
    <m/>
    <x v="20"/>
    <x v="3"/>
    <n v="2.2333333333333334"/>
    <s v="0"/>
    <n v="18"/>
    <n v="19"/>
    <m/>
    <d v="2018-03-08T00:00:00"/>
    <s v="0"/>
    <m/>
    <d v="2018-05-31T00:00:00"/>
    <s v="0"/>
    <m/>
    <d v="2018-10-30T00:00:00"/>
    <s v="0"/>
    <d v="2019-01-30T00:00:00"/>
    <d v="2019-02-25T00:00:00"/>
    <n v="26"/>
    <d v="2019-03-10T00:00:00"/>
    <d v="2019-04-23T00:00:00"/>
    <n v="44"/>
    <d v="2019-08-01T00:00:00"/>
    <d v="2019-04-03T00:00:00"/>
    <n v="-120"/>
    <d v="2019-08-01T00:00:00"/>
    <d v="2020-04-29T00:00:00"/>
    <n v="272"/>
    <m/>
    <m/>
    <m/>
    <d v="2019-06-22T00:00:00"/>
    <d v="2019-08-16T00:00:00"/>
    <n v="1.8333333333333333"/>
    <n v="0"/>
    <d v="2020-05-31T00:00:00"/>
    <m/>
    <m/>
    <m/>
    <m/>
    <d v="2019-07-22T00:00:00"/>
    <x v="21"/>
    <x v="2"/>
    <n v="0.96666666666666667"/>
    <m/>
    <n v="0"/>
    <m/>
    <n v="0"/>
    <n v="0"/>
    <m/>
    <m/>
    <m/>
    <n v="0"/>
    <m/>
    <m/>
    <m/>
    <m/>
    <d v="2020-05-31T00:00:00"/>
    <m/>
    <m/>
    <m/>
    <m/>
    <m/>
    <s v="promoteur"/>
    <d v="2020-08-16T00:00:00"/>
    <m/>
    <m/>
    <m/>
    <m/>
    <m/>
    <m/>
    <m/>
    <m/>
    <m/>
    <m/>
    <m/>
    <m/>
    <m/>
    <m/>
    <m/>
    <n v="11717406.772567019"/>
    <n v="11717406.772567019"/>
    <n v="11717406.772567019"/>
    <n v="2455688"/>
    <n v="2892.5083678068154"/>
    <n v="58587.033862835095"/>
    <n v="3407659.7725670198"/>
    <n v="3306813"/>
    <n v="17038.298862835098"/>
    <n v="5854059"/>
    <m/>
    <m/>
    <n v="29270.294999999998"/>
    <m/>
    <m/>
    <m/>
    <n v="0"/>
    <m/>
    <n v="1227844"/>
    <n v="1227844"/>
    <n v="0"/>
    <n v="17038.298862835098"/>
    <m/>
    <m/>
    <n v="17038.298862835098"/>
    <m/>
    <n v="17038.298862835098"/>
    <n v="0.29082030168527456"/>
    <m/>
    <m/>
    <n v="0"/>
    <n v="9572866.6500000004"/>
    <n v="0.81697826454332456"/>
    <n v="2144540.1225670185"/>
    <n v="2144540.1225670185"/>
    <n v="1"/>
    <n v="6860"/>
    <n v="2448828"/>
    <n v="2.7935144855535392E-3"/>
    <m/>
    <m/>
    <m/>
    <m/>
    <n v="0"/>
    <m/>
    <m/>
    <m/>
    <m/>
    <m/>
    <m/>
    <n v="0"/>
    <m/>
  </r>
  <r>
    <s v="VEFA CROUS Tampon"/>
    <x v="2"/>
    <x v="2"/>
    <x v="8"/>
    <s v="PRLC 0194"/>
    <s v="MTG"/>
    <s v="VAF"/>
    <x v="2"/>
    <m/>
    <s v="BW 683 p"/>
    <m/>
    <m/>
    <m/>
    <m/>
    <n v="1952"/>
    <n v="1"/>
    <m/>
    <n v="0.01"/>
    <n v="5.1229508196721314E-4"/>
    <n v="0"/>
    <n v="0"/>
    <n v="0"/>
    <n v="19.52"/>
    <m/>
    <n v="512.29508196721315"/>
    <m/>
    <n v="500"/>
    <m/>
    <x v="3"/>
    <n v="100"/>
    <n v="100"/>
    <m/>
    <m/>
    <n v="100"/>
    <m/>
    <n v="1701.83"/>
    <n v="1923.47"/>
    <n v="17.0183"/>
    <n v="19.2347"/>
    <m/>
    <m/>
    <m/>
    <m/>
    <m/>
    <m/>
    <m/>
    <m/>
    <m/>
    <m/>
    <m/>
    <m/>
    <s v="collectif"/>
    <s v="oui"/>
    <m/>
    <m/>
    <n v="0"/>
    <m/>
    <m/>
    <m/>
    <m/>
    <m/>
    <d v="2017-03-30T00:00:00"/>
    <d v="2018-01-02T00:00:00"/>
    <d v="2018-01-16T00:00:00"/>
    <n v="9.2666666666666675"/>
    <s v="x"/>
    <d v="2018-01-12T00:00:00"/>
    <d v="2018-02-13T00:00:00"/>
    <n v="1.0666666666666667"/>
    <n v="74911"/>
    <d v="2018-05-13T00:00:00"/>
    <d v="2018-03-01T00:00:00"/>
    <d v="2018-06-01T00:00:00"/>
    <d v="2020-06-01T00:00:00"/>
    <n v="180630"/>
    <s v="non"/>
    <n v="9.5333333333333332"/>
    <n v="0"/>
    <n v="180630"/>
    <m/>
    <m/>
    <m/>
    <s v="0"/>
    <d v="2017-02-09T00:00:00"/>
    <d v="2017-05-16T00:00:00"/>
    <n v="96"/>
    <m/>
    <m/>
    <s v="0"/>
    <m/>
    <d v="2020-04-29T00:00:00"/>
    <s v="0"/>
    <m/>
    <d v="2020-04-29T00:00:00"/>
    <s v="0"/>
    <m/>
    <m/>
    <m/>
    <m/>
    <s v="0"/>
    <m/>
    <x v="21"/>
    <x v="2"/>
    <n v="2.2000000000000002"/>
    <s v="0"/>
    <n v="17"/>
    <n v="17"/>
    <m/>
    <d v="2018-07-26T00:00:00"/>
    <s v="0"/>
    <m/>
    <d v="2018-09-05T00:00:00"/>
    <s v="0"/>
    <d v="2019-02-15T00:00:00"/>
    <d v="2020-04-29T00:00:00"/>
    <n v="439"/>
    <d v="2019-04-10T00:00:00"/>
    <d v="2019-03-20T00:00:00"/>
    <n v="-21"/>
    <d v="2019-04-10T00:00:00"/>
    <d v="2019-04-23T00:00:00"/>
    <n v="13"/>
    <d v="2019-05-10T00:00:00"/>
    <d v="2020-04-29T00:00:00"/>
    <n v="355"/>
    <d v="2019-08-01T00:00:00"/>
    <d v="2020-04-29T00:00:00"/>
    <n v="272"/>
    <m/>
    <m/>
    <m/>
    <d v="2019-08-09T00:00:00"/>
    <d v="2019-08-16T00:00:00"/>
    <n v="0.23333333333333334"/>
    <n v="0"/>
    <d v="2020-09-05T00:00:00"/>
    <m/>
    <m/>
    <m/>
    <m/>
    <d v="2019-08-16T00:00:00"/>
    <x v="21"/>
    <x v="2"/>
    <n v="0.13333333333333333"/>
    <m/>
    <n v="0"/>
    <m/>
    <n v="0"/>
    <n v="0"/>
    <m/>
    <m/>
    <m/>
    <n v="0"/>
    <m/>
    <m/>
    <m/>
    <s v="contrat de prêt à recevoir en février 2018 / délib garantie CM 24/02 / VEFA à signer fin fév 18 au + tard"/>
    <d v="2020-09-05T00:00:00"/>
    <m/>
    <m/>
    <m/>
    <m/>
    <m/>
    <s v="promoteur"/>
    <d v="2020-08-16T00:00:00"/>
    <m/>
    <m/>
    <m/>
    <m/>
    <m/>
    <m/>
    <m/>
    <m/>
    <m/>
    <m/>
    <m/>
    <m/>
    <m/>
    <m/>
    <m/>
    <n v="6236912"/>
    <n v="6236912"/>
    <n v="6236912"/>
    <n v="1310250"/>
    <n v="3242.5314665682336"/>
    <n v="62369.120000000003"/>
    <n v="1736993"/>
    <n v="1736993"/>
    <n v="17369.93"/>
    <n v="3189669"/>
    <m/>
    <m/>
    <n v="31896.69"/>
    <m/>
    <m/>
    <m/>
    <n v="0"/>
    <m/>
    <n v="655125"/>
    <n v="655125"/>
    <n v="0"/>
    <n v="17369.93"/>
    <m/>
    <m/>
    <n v="17369.93"/>
    <m/>
    <n v="17369.93"/>
    <n v="0.27850208564751272"/>
    <m/>
    <m/>
    <n v="0"/>
    <n v="4846748.1499999994"/>
    <n v="0.77710702828579259"/>
    <n v="1390163.8500000006"/>
    <n v="1390163.8500000006"/>
    <n v="1"/>
    <n v="0"/>
    <n v="1310250"/>
    <n v="0"/>
    <m/>
    <m/>
    <m/>
    <m/>
    <n v="0"/>
    <m/>
    <m/>
    <m/>
    <m/>
    <m/>
    <m/>
    <m/>
    <m/>
  </r>
  <r>
    <s v="Les Platanes "/>
    <x v="0"/>
    <x v="0"/>
    <x v="6"/>
    <s v="PRLC 0179"/>
    <s v="FHO"/>
    <s v="DAM / VAF"/>
    <x v="2"/>
    <m/>
    <s v="AH 449 à 451"/>
    <m/>
    <m/>
    <m/>
    <m/>
    <n v="5130"/>
    <n v="425624"/>
    <n v="271768"/>
    <n v="15200.857142857143"/>
    <n v="82.967641325536064"/>
    <n v="52.976218323586743"/>
    <n v="144.10749415389185"/>
    <n v="9706"/>
    <n v="183.21428571428572"/>
    <m/>
    <n v="54.580896686159846"/>
    <s v="NAU"/>
    <n v="675"/>
    <m/>
    <x v="0"/>
    <n v="28"/>
    <n v="28"/>
    <m/>
    <n v="28"/>
    <m/>
    <m/>
    <n v="1885.87"/>
    <n v="1885.87"/>
    <n v="67.352499999999992"/>
    <n v="67.352499999999992"/>
    <n v="5.54"/>
    <n v="5.54"/>
    <n v="372.96841640000031"/>
    <n v="0.14285714285714285"/>
    <n v="0.25"/>
    <n v="0.35714285714285715"/>
    <n v="0.25"/>
    <m/>
    <m/>
    <m/>
    <m/>
    <n v="2.5"/>
    <s v="collectif"/>
    <s v="non"/>
    <m/>
    <m/>
    <m/>
    <m/>
    <d v="2016-04-28T00:00:00"/>
    <m/>
    <d v="2016-04-15T00:00:00"/>
    <m/>
    <d v="2016-03-30T00:00:00"/>
    <d v="2016-08-22T00:00:00"/>
    <d v="2016-10-03T00:00:00"/>
    <n v="4.833333333333333"/>
    <s v="x"/>
    <d v="2017-05-22T00:00:00"/>
    <d v="2017-07-13T00:00:00"/>
    <n v="1.7333333333333334"/>
    <n v="66469"/>
    <d v="2017-10-05T00:00:00"/>
    <m/>
    <d v="2017-08-01T00:00:00"/>
    <d v="2019-08-01T00:00:00"/>
    <n v="93066"/>
    <s v="oui"/>
    <n v="-5.7333333333333334"/>
    <s v="0"/>
    <n v="93066"/>
    <m/>
    <m/>
    <m/>
    <s v="0"/>
    <m/>
    <m/>
    <s v="0"/>
    <m/>
    <m/>
    <s v="0"/>
    <m/>
    <m/>
    <s v="0"/>
    <m/>
    <m/>
    <s v="0"/>
    <m/>
    <m/>
    <m/>
    <d v="2018-05-31T00:00:00"/>
    <m/>
    <m/>
    <x v="22"/>
    <x v="2"/>
    <n v="21.966666666666665"/>
    <s v="0"/>
    <n v="16"/>
    <n v="19"/>
    <d v="2018-11-09T00:00:00"/>
    <d v="2018-11-06T00:00:00"/>
    <n v="-3"/>
    <d v="2019-01-19T00:00:00"/>
    <d v="2018-12-19T00:00:00"/>
    <n v="-31"/>
    <d v="2019-07-14T00:00:00"/>
    <d v="2020-04-29T00:00:00"/>
    <n v="290"/>
    <d v="2019-09-09T00:00:00"/>
    <d v="2020-04-29T00:00:00"/>
    <n v="233"/>
    <d v="2019-09-23T00:00:00"/>
    <d v="2020-04-29T00:00:00"/>
    <n v="219"/>
    <d v="2019-09-20T00:00:00"/>
    <d v="2020-04-29T00:00:00"/>
    <n v="222"/>
    <d v="2019-10-06T00:00:00"/>
    <d v="2020-04-29T00:00:00"/>
    <n v="206"/>
    <m/>
    <m/>
    <m/>
    <d v="2019-10-12T00:00:00"/>
    <d v="2020-01-20T00:00:00"/>
    <n v="3.3333333333333335"/>
    <n v="0"/>
    <d v="2020-12-19T00:00:00"/>
    <d v="2020-03-12T00:00:00"/>
    <s v="25/09/2018_x000a_14/11/19"/>
    <m/>
    <m/>
    <d v="2019-11-12T00:00:00"/>
    <x v="22"/>
    <x v="7"/>
    <n v="2.2999999999999998"/>
    <n v="10758.758830000001"/>
    <n v="24745.145309"/>
    <m/>
    <n v="0"/>
    <n v="0"/>
    <n v="134399.71276999998"/>
    <n v="131635.37"/>
    <n v="0"/>
    <n v="0"/>
    <m/>
    <m/>
    <s v="1 MOIS = GILETS JAUNES_x000a_1,5 MOIS = MARGE DE SECURITE EDF / SIDELEC"/>
    <s v="1e visite réception EDF 02/09_x000a_20/09 coffret EDF sous tension_x000a_07/10 réception EDF_x000a_17/10 mise sous tension opé_x000a_pb accès diocèse"/>
    <d v="2020-12-19T00:00:00"/>
    <m/>
    <s v="transmis 08/04 à GL"/>
    <m/>
    <m/>
    <m/>
    <m/>
    <d v="2021-01-20T00:00:00"/>
    <m/>
    <m/>
    <m/>
    <m/>
    <m/>
    <m/>
    <m/>
    <m/>
    <m/>
    <m/>
    <m/>
    <m/>
    <m/>
    <m/>
    <m/>
    <n v="4006390.0323739876"/>
    <n v="4691040.0327239875"/>
    <n v="4691040.0327239875"/>
    <n v="1376883.64"/>
    <n v="2487.4673401263012"/>
    <n v="167537.14402585669"/>
    <n v="1175968.0323739876"/>
    <n v="1263947"/>
    <n v="41998.858299070984"/>
    <n v="2105582"/>
    <n v="405627"/>
    <n v="1699955"/>
    <n v="75199.357142857145"/>
    <m/>
    <n v="656000"/>
    <m/>
    <n v="0.13984105772362695"/>
    <m/>
    <m/>
    <n v="68840"/>
    <n v="23428.571428571428"/>
    <n v="65427.429727642411"/>
    <n v="878080.00034999999"/>
    <n v="560000"/>
    <n v="85427.429727642419"/>
    <n v="92043.64"/>
    <n v="88714.702584785278"/>
    <n v="0.4620823851619198"/>
    <n v="193430"/>
    <m/>
    <n v="0"/>
    <n v="2257487.8888400001"/>
    <n v="0.48123398502082804"/>
    <n v="2433552.1438839873"/>
    <n v="2433552.1438839873"/>
    <n v="1"/>
    <n v="871641.46"/>
    <n v="505242.17999999993"/>
    <n v="0.63305382871714566"/>
    <m/>
    <m/>
    <m/>
    <m/>
    <n v="0"/>
    <m/>
    <m/>
    <m/>
    <m/>
    <m/>
    <m/>
    <n v="0"/>
    <m/>
  </r>
  <r>
    <s v="TRINITE 2 &amp; 3"/>
    <x v="8"/>
    <x v="2"/>
    <x v="9"/>
    <m/>
    <m/>
    <m/>
    <x v="4"/>
    <m/>
    <s v="AT 1291-1293-1294"/>
    <m/>
    <s v="SIDR"/>
    <m/>
    <m/>
    <n v="19762"/>
    <m/>
    <m/>
    <n v="0"/>
    <n v="0"/>
    <n v="0"/>
    <e v="#DIV/0!"/>
    <n v="0"/>
    <n v="329.36666666666667"/>
    <m/>
    <n v="30.361299463617044"/>
    <m/>
    <m/>
    <m/>
    <x v="0"/>
    <n v="60"/>
    <n v="60"/>
    <m/>
    <n v="60"/>
    <m/>
    <m/>
    <m/>
    <m/>
    <n v="0"/>
    <n v="0"/>
    <m/>
    <m/>
    <m/>
    <m/>
    <m/>
    <m/>
    <m/>
    <m/>
    <m/>
    <m/>
    <m/>
    <m/>
    <m/>
    <m/>
    <m/>
    <m/>
    <m/>
    <m/>
    <m/>
    <m/>
    <m/>
    <m/>
    <m/>
    <m/>
    <m/>
    <n v="0"/>
    <s v="x"/>
    <m/>
    <m/>
    <n v="0"/>
    <m/>
    <m/>
    <m/>
    <m/>
    <m/>
    <m/>
    <m/>
    <m/>
    <m/>
    <m/>
    <m/>
    <m/>
    <m/>
    <s v="0"/>
    <m/>
    <m/>
    <s v="0"/>
    <m/>
    <m/>
    <s v="0"/>
    <m/>
    <m/>
    <s v="0"/>
    <m/>
    <m/>
    <s v="0"/>
    <m/>
    <m/>
    <m/>
    <m/>
    <s v="0"/>
    <m/>
    <x v="23"/>
    <x v="7"/>
    <n v="1503.6333333333334"/>
    <m/>
    <m/>
    <m/>
    <m/>
    <m/>
    <m/>
    <m/>
    <m/>
    <m/>
    <m/>
    <m/>
    <m/>
    <m/>
    <m/>
    <m/>
    <m/>
    <m/>
    <m/>
    <m/>
    <m/>
    <m/>
    <m/>
    <m/>
    <m/>
    <m/>
    <m/>
    <m/>
    <m/>
    <m/>
    <d v="1899-12-30T00:00:00"/>
    <n v="0"/>
    <d v="1901-12-31T00:00:00"/>
    <m/>
    <m/>
    <d v="1900-05-02T00:00:00"/>
    <m/>
    <d v="1900-01-30T00:00:00"/>
    <x v="23"/>
    <x v="8"/>
    <n v="0"/>
    <m/>
    <n v="0"/>
    <m/>
    <m/>
    <m/>
    <m/>
    <m/>
    <m/>
    <e v="#DIV/0!"/>
    <m/>
    <m/>
    <m/>
    <m/>
    <d v="1901-12-31T00:00:00"/>
    <m/>
    <m/>
    <m/>
    <m/>
    <m/>
    <m/>
    <d v="1900-12-31T00:00:00"/>
    <m/>
    <m/>
    <m/>
    <m/>
    <m/>
    <m/>
    <m/>
    <m/>
    <m/>
    <m/>
    <m/>
    <m/>
    <m/>
    <m/>
    <m/>
    <n v="0"/>
    <n v="0"/>
    <n v="0"/>
    <n v="0"/>
    <e v="#DIV/0!"/>
    <n v="0"/>
    <m/>
    <m/>
    <n v="0"/>
    <n v="0"/>
    <m/>
    <m/>
    <n v="0"/>
    <m/>
    <m/>
    <m/>
    <e v="#DIV/0!"/>
    <m/>
    <m/>
    <m/>
    <m/>
    <m/>
    <m/>
    <m/>
    <m/>
    <m/>
    <m/>
    <m/>
    <m/>
    <m/>
    <m/>
    <m/>
    <e v="#DIV/0!"/>
    <n v="0"/>
    <n v="0"/>
    <e v="#DIV/0!"/>
    <m/>
    <n v="0"/>
    <e v="#DIV/0!"/>
    <m/>
    <m/>
    <m/>
    <m/>
    <n v="0"/>
    <m/>
    <m/>
    <m/>
    <m/>
    <m/>
    <m/>
    <n v="0"/>
    <m/>
  </r>
  <r>
    <s v="EK 235"/>
    <x v="2"/>
    <x v="2"/>
    <x v="10"/>
    <m/>
    <m/>
    <m/>
    <x v="5"/>
    <m/>
    <s v="EK 235"/>
    <m/>
    <m/>
    <m/>
    <m/>
    <n v="5375"/>
    <m/>
    <m/>
    <n v="0"/>
    <n v="0"/>
    <n v="0"/>
    <e v="#DIV/0!"/>
    <n v="0"/>
    <n v="111.97916666666667"/>
    <m/>
    <n v="89.302325581395351"/>
    <m/>
    <n v="580"/>
    <n v="0.15"/>
    <x v="0"/>
    <n v="48"/>
    <n v="48"/>
    <n v="48"/>
    <m/>
    <m/>
    <m/>
    <m/>
    <m/>
    <n v="0"/>
    <n v="0"/>
    <m/>
    <m/>
    <m/>
    <m/>
    <m/>
    <m/>
    <m/>
    <m/>
    <m/>
    <m/>
    <m/>
    <m/>
    <m/>
    <m/>
    <m/>
    <m/>
    <m/>
    <m/>
    <m/>
    <m/>
    <m/>
    <m/>
    <m/>
    <m/>
    <m/>
    <n v="0"/>
    <s v="x"/>
    <m/>
    <m/>
    <n v="0"/>
    <m/>
    <m/>
    <m/>
    <m/>
    <m/>
    <m/>
    <m/>
    <m/>
    <m/>
    <m/>
    <m/>
    <m/>
    <m/>
    <s v="0"/>
    <m/>
    <m/>
    <s v="0"/>
    <m/>
    <m/>
    <s v="0"/>
    <m/>
    <m/>
    <s v="0"/>
    <m/>
    <m/>
    <s v="0"/>
    <m/>
    <m/>
    <m/>
    <m/>
    <m/>
    <m/>
    <x v="24"/>
    <x v="7"/>
    <n v="1504.1666666666667"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d v="1901-12-31T00:00:00"/>
    <m/>
    <m/>
    <m/>
    <m/>
    <m/>
    <x v="23"/>
    <x v="8"/>
    <m/>
    <m/>
    <m/>
    <m/>
    <m/>
    <m/>
    <m/>
    <m/>
    <m/>
    <m/>
    <m/>
    <m/>
    <m/>
    <m/>
    <d v="1901-12-31T00:00:00"/>
    <m/>
    <m/>
    <m/>
    <m/>
    <m/>
    <m/>
    <d v="1900-12-31T00:00:00"/>
    <m/>
    <m/>
    <m/>
    <m/>
    <m/>
    <m/>
    <m/>
    <m/>
    <m/>
    <m/>
    <m/>
    <m/>
    <m/>
    <m/>
    <m/>
    <n v="0"/>
    <n v="0"/>
    <m/>
    <n v="0"/>
    <e v="#DIV/0!"/>
    <m/>
    <m/>
    <m/>
    <m/>
    <n v="0"/>
    <m/>
    <m/>
    <m/>
    <m/>
    <m/>
    <m/>
    <e v="#DIV/0!"/>
    <m/>
    <m/>
    <m/>
    <m/>
    <m/>
    <m/>
    <m/>
    <m/>
    <m/>
    <m/>
    <m/>
    <m/>
    <m/>
    <m/>
    <m/>
    <e v="#DIV/0!"/>
    <n v="0"/>
    <n v="0"/>
    <e v="#DIV/0!"/>
    <m/>
    <n v="0"/>
    <e v="#DIV/0!"/>
    <m/>
    <m/>
    <m/>
    <m/>
    <n v="0"/>
    <m/>
    <m/>
    <m/>
    <m/>
    <m/>
    <m/>
    <n v="0"/>
    <m/>
  </r>
  <r>
    <s v="BM 1251 p"/>
    <x v="4"/>
    <x v="2"/>
    <x v="9"/>
    <m/>
    <m/>
    <m/>
    <x v="5"/>
    <m/>
    <s v="BM 1251 p"/>
    <m/>
    <m/>
    <m/>
    <m/>
    <m/>
    <m/>
    <m/>
    <m/>
    <m/>
    <m/>
    <m/>
    <m/>
    <m/>
    <m/>
    <e v="#DIV/0!"/>
    <m/>
    <m/>
    <m/>
    <x v="0"/>
    <n v="50"/>
    <n v="50"/>
    <m/>
    <n v="50"/>
    <m/>
    <m/>
    <m/>
    <m/>
    <n v="0"/>
    <n v="0"/>
    <m/>
    <m/>
    <m/>
    <m/>
    <m/>
    <m/>
    <m/>
    <m/>
    <m/>
    <m/>
    <m/>
    <m/>
    <m/>
    <m/>
    <m/>
    <m/>
    <m/>
    <m/>
    <m/>
    <m/>
    <m/>
    <m/>
    <m/>
    <m/>
    <m/>
    <n v="0"/>
    <s v="x"/>
    <m/>
    <m/>
    <n v="0"/>
    <m/>
    <m/>
    <m/>
    <m/>
    <m/>
    <m/>
    <m/>
    <m/>
    <m/>
    <m/>
    <m/>
    <m/>
    <m/>
    <s v="0"/>
    <m/>
    <m/>
    <s v="0"/>
    <m/>
    <m/>
    <s v="0"/>
    <m/>
    <m/>
    <s v="0"/>
    <m/>
    <m/>
    <s v="0"/>
    <m/>
    <m/>
    <m/>
    <m/>
    <s v="0"/>
    <m/>
    <x v="25"/>
    <x v="7"/>
    <n v="1504.2666666666667"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d v="1901-12-31T00:00:00"/>
    <m/>
    <m/>
    <d v="1900-05-02T00:00:00"/>
    <m/>
    <d v="1900-01-30T00:00:00"/>
    <x v="23"/>
    <x v="8"/>
    <n v="0"/>
    <m/>
    <n v="0"/>
    <m/>
    <m/>
    <m/>
    <m/>
    <m/>
    <m/>
    <e v="#DIV/0!"/>
    <m/>
    <m/>
    <m/>
    <m/>
    <d v="1901-12-31T00:00:00"/>
    <m/>
    <m/>
    <m/>
    <m/>
    <m/>
    <m/>
    <d v="1900-12-31T00:00:00"/>
    <m/>
    <m/>
    <m/>
    <m/>
    <m/>
    <m/>
    <m/>
    <m/>
    <m/>
    <m/>
    <m/>
    <m/>
    <m/>
    <m/>
    <m/>
    <n v="0"/>
    <n v="0"/>
    <n v="0"/>
    <n v="0"/>
    <e v="#DIV/0!"/>
    <n v="0"/>
    <m/>
    <m/>
    <n v="0"/>
    <n v="0"/>
    <m/>
    <m/>
    <n v="0"/>
    <m/>
    <m/>
    <m/>
    <e v="#DIV/0!"/>
    <m/>
    <m/>
    <m/>
    <m/>
    <m/>
    <m/>
    <m/>
    <m/>
    <m/>
    <m/>
    <m/>
    <m/>
    <m/>
    <m/>
    <m/>
    <e v="#DIV/0!"/>
    <n v="0"/>
    <n v="0"/>
    <e v="#DIV/0!"/>
    <m/>
    <n v="0"/>
    <e v="#DIV/0!"/>
    <m/>
    <m/>
    <m/>
    <m/>
    <n v="0"/>
    <m/>
    <m/>
    <m/>
    <m/>
    <m/>
    <m/>
    <n v="0"/>
    <m/>
  </r>
  <r>
    <s v="Bouton d'Or "/>
    <x v="2"/>
    <x v="2"/>
    <x v="4"/>
    <s v="PRLC 0117"/>
    <m/>
    <m/>
    <x v="0"/>
    <m/>
    <m/>
    <s v="voie intérieure à rétrocéder_x000a_récupérer DOE_x000a_faire le DA : FVA s'en occupe"/>
    <m/>
    <m/>
    <m/>
    <n v="12495"/>
    <n v="825000"/>
    <n v="546365"/>
    <n v="12692.307692307691"/>
    <n v="66.026410564225685"/>
    <n v="43.726690676270508"/>
    <n v="102.26067849365454"/>
    <n v="8405.6153846153848"/>
    <n v="192.23076923076923"/>
    <m/>
    <n v="52.020808323329334"/>
    <s v="UC"/>
    <n v="850"/>
    <m/>
    <x v="0"/>
    <n v="65"/>
    <n v="65"/>
    <m/>
    <n v="65"/>
    <m/>
    <m/>
    <n v="4862.7300000000032"/>
    <n v="5342.8650000000043"/>
    <n v="74.811230769230818"/>
    <n v="82.197923076923146"/>
    <n v="5.51"/>
    <n v="5.01"/>
    <n v="411.89554665846191"/>
    <n v="0"/>
    <n v="0.29230769230769232"/>
    <n v="0.30769230769230771"/>
    <n v="0.35384615384615387"/>
    <n v="4.6153846153846156E-2"/>
    <s v="ANC"/>
    <n v="2000"/>
    <n v="0.1600640256102441"/>
    <n v="2.5"/>
    <s v="collectif"/>
    <s v="oui"/>
    <m/>
    <m/>
    <m/>
    <m/>
    <m/>
    <m/>
    <d v="2012-02-24T00:00:00"/>
    <m/>
    <d v="2012-03-30T00:00:00"/>
    <d v="2012-07-01T00:00:00"/>
    <m/>
    <n v="3.1"/>
    <m/>
    <m/>
    <d v="2012-12-19T00:00:00"/>
    <m/>
    <m/>
    <d v="2013-03-19T00:00:00"/>
    <m/>
    <d v="2013-04-01T00:00:00"/>
    <d v="2015-04-01T00:00:00"/>
    <n v="228526"/>
    <s v="oui"/>
    <n v="-26.133333333333333"/>
    <s v="0"/>
    <n v="228526"/>
    <m/>
    <m/>
    <m/>
    <s v="0"/>
    <m/>
    <m/>
    <s v="0"/>
    <m/>
    <m/>
    <s v="0"/>
    <m/>
    <m/>
    <s v="0"/>
    <m/>
    <m/>
    <s v="0"/>
    <m/>
    <m/>
    <m/>
    <m/>
    <s v="0"/>
    <m/>
    <x v="26"/>
    <x v="4"/>
    <n v="7.6333333333333337"/>
    <s v="0"/>
    <n v="21"/>
    <n v="51"/>
    <m/>
    <m/>
    <s v="0"/>
    <m/>
    <m/>
    <s v="0"/>
    <m/>
    <m/>
    <s v="0"/>
    <m/>
    <m/>
    <s v="0"/>
    <m/>
    <m/>
    <s v="0"/>
    <m/>
    <m/>
    <s v="0"/>
    <m/>
    <m/>
    <s v="0"/>
    <m/>
    <m/>
    <m/>
    <d v="2014-11-15T00:00:00"/>
    <d v="2017-05-20T00:00:00"/>
    <n v="30.566666666666666"/>
    <m/>
    <m/>
    <d v="2017-05-24T00:00:00"/>
    <d v="2016-06-14T00:00:00"/>
    <d v="2017-05-09T00:00:00"/>
    <m/>
    <d v="2014-12-15T00:00:00"/>
    <x v="24"/>
    <x v="4"/>
    <n v="29.7"/>
    <n v="27488.225982313335"/>
    <n v="816400.31167470606"/>
    <s v="ok"/>
    <m/>
    <n v="36111"/>
    <m/>
    <m/>
    <m/>
    <n v="0"/>
    <m/>
    <s v="Lot Men Ext_x000a_Lot Cloisons_x000a_Lot Bardage_x000a_Lot Bardage_x000a_soit 4 lots sur 14 = 29%_x000a_4 RO"/>
    <m/>
    <m/>
    <d v="1901-12-31T00:00:00"/>
    <m/>
    <s v="ok"/>
    <m/>
    <m/>
    <d v="2018-03-27T00:00:00"/>
    <s v="dossier envoyé une 2e fois 31/01/2019"/>
    <d v="2018-05-20T00:00:00"/>
    <n v="206245"/>
    <s v="ok"/>
    <d v="2017-06-21T00:00:00"/>
    <m/>
    <m/>
    <m/>
    <d v="2018-03-26T00:00:00"/>
    <m/>
    <s v="envoi à l'arrangeur 07/03/18"/>
    <m/>
    <d v="2018-05-03T00:00:00"/>
    <s v="ok"/>
    <m/>
    <s v="ok"/>
    <n v="9682468.3900000006"/>
    <n v="10359154.550000001"/>
    <n v="10359154.550000001"/>
    <n v="10359154.550000001"/>
    <n v="790394"/>
    <n v="1938.8763425615268"/>
    <n v="159371.60846153848"/>
    <n v="3195831"/>
    <m/>
    <n v="49166.630769230767"/>
    <n v="6112292.5499999998"/>
    <n v="1264343"/>
    <n v="4847949.55"/>
    <n v="94035.27"/>
    <n v="224526"/>
    <n v="790394"/>
    <m/>
    <n v="7.6299083693079944E-2"/>
    <m/>
    <m/>
    <n v="0"/>
    <n v="12159.907692307692"/>
    <n v="61326.538461538461"/>
    <n v="1951680.4950927752"/>
    <n v="1300000"/>
    <n v="81326.538461538468"/>
    <n v="0"/>
    <n v="81326.538461538468"/>
    <n v="0.44977679130011533"/>
    <n v="557838.66500000004"/>
    <m/>
    <n v="36111"/>
    <m/>
    <n v="0"/>
    <n v="10359154.550000001"/>
    <n v="10359154.550000001"/>
    <m/>
    <m/>
    <n v="790394"/>
    <n v="0"/>
    <m/>
    <m/>
    <m/>
    <m/>
    <n v="0"/>
    <m/>
    <m/>
    <m/>
    <m/>
    <m/>
    <m/>
    <n v="0"/>
    <m/>
  </r>
  <r>
    <s v="Terrain Marion Bois Noirs"/>
    <x v="4"/>
    <x v="2"/>
    <x v="11"/>
    <m/>
    <m/>
    <m/>
    <x v="5"/>
    <m/>
    <s v="BX 590 p - 1027"/>
    <m/>
    <m/>
    <m/>
    <m/>
    <m/>
    <m/>
    <m/>
    <m/>
    <m/>
    <m/>
    <m/>
    <m/>
    <m/>
    <m/>
    <m/>
    <m/>
    <m/>
    <m/>
    <x v="0"/>
    <n v="150"/>
    <n v="150"/>
    <m/>
    <n v="150"/>
    <m/>
    <m/>
    <m/>
    <m/>
    <n v="0"/>
    <n v="0"/>
    <m/>
    <m/>
    <m/>
    <m/>
    <m/>
    <m/>
    <m/>
    <m/>
    <m/>
    <m/>
    <m/>
    <m/>
    <m/>
    <m/>
    <m/>
    <m/>
    <m/>
    <m/>
    <m/>
    <m/>
    <m/>
    <m/>
    <m/>
    <m/>
    <m/>
    <n v="0"/>
    <s v="x"/>
    <m/>
    <m/>
    <n v="0"/>
    <m/>
    <m/>
    <m/>
    <m/>
    <m/>
    <m/>
    <m/>
    <m/>
    <m/>
    <m/>
    <m/>
    <m/>
    <m/>
    <s v="0"/>
    <m/>
    <m/>
    <s v="0"/>
    <m/>
    <m/>
    <s v="0"/>
    <m/>
    <m/>
    <s v="0"/>
    <m/>
    <m/>
    <s v="0"/>
    <m/>
    <m/>
    <m/>
    <m/>
    <m/>
    <m/>
    <x v="27"/>
    <x v="7"/>
    <n v="1504.3"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d v="1901-12-31T00:00:00"/>
    <m/>
    <m/>
    <d v="1900-05-02T00:00:00"/>
    <m/>
    <d v="1900-01-30T00:00:00"/>
    <x v="23"/>
    <x v="8"/>
    <m/>
    <m/>
    <m/>
    <m/>
    <m/>
    <m/>
    <m/>
    <m/>
    <m/>
    <m/>
    <m/>
    <m/>
    <m/>
    <m/>
    <d v="1901-12-31T00:00:00"/>
    <m/>
    <m/>
    <m/>
    <m/>
    <m/>
    <m/>
    <d v="1900-12-31T00:00:00"/>
    <m/>
    <m/>
    <m/>
    <m/>
    <m/>
    <m/>
    <m/>
    <m/>
    <m/>
    <m/>
    <m/>
    <m/>
    <m/>
    <m/>
    <m/>
    <n v="0"/>
    <n v="0"/>
    <m/>
    <n v="0"/>
    <e v="#DIV/0!"/>
    <m/>
    <m/>
    <m/>
    <m/>
    <m/>
    <m/>
    <m/>
    <m/>
    <m/>
    <m/>
    <m/>
    <e v="#DIV/0!"/>
    <m/>
    <m/>
    <m/>
    <m/>
    <m/>
    <m/>
    <m/>
    <m/>
    <m/>
    <m/>
    <m/>
    <m/>
    <m/>
    <m/>
    <m/>
    <e v="#DIV/0!"/>
    <n v="0"/>
    <n v="0"/>
    <e v="#DIV/0!"/>
    <m/>
    <n v="0"/>
    <e v="#DIV/0!"/>
    <m/>
    <m/>
    <m/>
    <m/>
    <n v="0"/>
    <m/>
    <m/>
    <m/>
    <m/>
    <m/>
    <m/>
    <n v="0"/>
    <m/>
  </r>
  <r>
    <s v="FAHAM (Ilôt 5.6)"/>
    <x v="7"/>
    <x v="0"/>
    <x v="6"/>
    <s v="PRLC 0156"/>
    <s v="TQU"/>
    <s v="MMA"/>
    <x v="0"/>
    <s v="oui"/>
    <m/>
    <m/>
    <s v="SODEGIS"/>
    <s v="QUINOT"/>
    <m/>
    <n v="3126"/>
    <n v="268450"/>
    <n v="268450"/>
    <n v="8948.3333333333339"/>
    <n v="85.876519513755596"/>
    <n v="85.876519513755596"/>
    <n v="100.22812211813815"/>
    <n v="8948.3333333333339"/>
    <n v="104.2"/>
    <n v="1264.3499999999999"/>
    <n v="95.969289827255281"/>
    <m/>
    <n v="100"/>
    <m/>
    <x v="1"/>
    <n v="30"/>
    <n v="30"/>
    <n v="30"/>
    <m/>
    <m/>
    <m/>
    <n v="2366.15"/>
    <n v="2678.39"/>
    <n v="78.87166666666667"/>
    <n v="89.279666666666657"/>
    <n v="7.23"/>
    <n v="6.39"/>
    <n v="570.15"/>
    <n v="0"/>
    <n v="0"/>
    <n v="0.53333333333333333"/>
    <n v="0.4"/>
    <n v="6.6666666666666666E-2"/>
    <m/>
    <n v="0"/>
    <n v="0"/>
    <n v="3"/>
    <s v="collectif"/>
    <s v="oui"/>
    <m/>
    <m/>
    <m/>
    <m/>
    <d v="2014-01-28T00:00:00"/>
    <m/>
    <d v="2014-05-28T00:00:00"/>
    <m/>
    <d v="2016-03-30T00:00:00"/>
    <d v="2016-08-19T00:00:00"/>
    <d v="2016-09-13T00:00:00"/>
    <n v="4.7333333333333334"/>
    <m/>
    <d v="2014-10-20T00:00:00"/>
    <d v="2015-01-23T00:00:00"/>
    <n v="3.1666666666666665"/>
    <m/>
    <d v="2015-04-23T00:00:00"/>
    <d v="2015-03-11T00:00:00"/>
    <d v="2015-05-01T00:00:00"/>
    <d v="2018-05-01T00:00:00"/>
    <n v="112746"/>
    <s v="oui"/>
    <n v="-4.0333333333333332"/>
    <s v="0"/>
    <n v="112746"/>
    <d v="2013-10-01T00:00:00"/>
    <d v="2013-10-02T00:00:00"/>
    <d v="2013-10-17T00:00:00"/>
    <n v="15"/>
    <d v="2014-02-09T00:00:00"/>
    <d v="2014-02-04T00:00:00"/>
    <n v="-5"/>
    <d v="2014-02-09T00:00:00"/>
    <d v="2014-02-27T00:00:00"/>
    <n v="18"/>
    <d v="2014-04-24T00:00:00"/>
    <d v="2014-07-04T00:00:00"/>
    <n v="71"/>
    <d v="2014-08-29T00:00:00"/>
    <d v="2014-10-08T00:00:00"/>
    <n v="40"/>
    <m/>
    <d v="2015-02-20T00:00:00"/>
    <d v="2015-06-22T00:00:00"/>
    <d v="2017-02-14T00:00:00"/>
    <n v="603"/>
    <d v="2017-02-15T00:00:00"/>
    <x v="28"/>
    <x v="3"/>
    <n v="5.9666666666666668"/>
    <n v="-1"/>
    <n v="16"/>
    <n v="17"/>
    <d v="2017-04-19T00:00:00"/>
    <d v="2017-04-19T00:00:00"/>
    <n v="0"/>
    <d v="2017-06-30T00:00:00"/>
    <d v="2017-07-20T00:00:00"/>
    <n v="20"/>
    <d v="2018-01-24T00:00:00"/>
    <d v="2017-12-15T00:00:00"/>
    <n v="-40"/>
    <d v="2018-03-23T00:00:00"/>
    <d v="2020-04-29T00:00:00"/>
    <n v="768"/>
    <d v="2018-03-02T00:00:00"/>
    <m/>
    <s v="0"/>
    <d v="2018-03-21T00:00:00"/>
    <d v="2018-06-11T00:00:00"/>
    <n v="82"/>
    <d v="2018-04-06T00:00:00"/>
    <d v="2018-08-01T00:00:00"/>
    <n v="117"/>
    <d v="2018-04-18T00:00:00"/>
    <d v="2018-04-19T00:00:00"/>
    <d v="2018-04-30T00:00:00"/>
    <d v="2018-06-14T00:00:00"/>
    <d v="2018-08-08T00:00:00"/>
    <n v="1.8333333333333333"/>
    <n v="0"/>
    <d v="2019-07-20T00:00:00"/>
    <d v="2018-08-06T00:00:00"/>
    <d v="2017-06-01T00:00:00"/>
    <d v="2018-08-16T00:00:00"/>
    <s v="20 &amp; 21/08"/>
    <d v="2018-06-29T00:00:00"/>
    <x v="25"/>
    <x v="3"/>
    <n v="2.0666666666666669"/>
    <n v="19598.869885009859"/>
    <n v="40504.331095687048"/>
    <d v="2018-08-09T00:00:00"/>
    <n v="0"/>
    <n v="0"/>
    <n v="316521.23099999997"/>
    <m/>
    <n v="0"/>
    <n v="0"/>
    <s v="JDC / NBL / MFL / ADE"/>
    <s v="Lot Men Ext"/>
    <s v="COLTRAV : pb avancement sous-traitant_x000a_J2S : pb avancement - 20 j pénalités_x000a_SMOI : pénalités_x000a_4 j intempéries"/>
    <s v="problématique foncière non anticipée et propre à la vente en VEFA défisc_x000a_changements de RO_x000a_avancement SMOI"/>
    <d v="2019-07-20T00:00:00"/>
    <s v="ok"/>
    <d v="2018-12-10T00:00:00"/>
    <s v="ok"/>
    <s v="ok"/>
    <d v="2018-12-11T00:00:00"/>
    <d v="2019-01-09T00:00:00"/>
    <d v="2019-08-08T00:00:00"/>
    <m/>
    <m/>
    <d v="2018-11-06T00:00:00"/>
    <s v="28/12/2018_x000a_01/04/19"/>
    <m/>
    <m/>
    <m/>
    <m/>
    <m/>
    <s v="envoyé 14/06/19"/>
    <d v="2018-10-16T00:00:00"/>
    <m/>
    <m/>
    <m/>
    <m/>
    <n v="5228392.2"/>
    <n v="5228392.2"/>
    <n v="5228392.2"/>
    <n v="292962"/>
    <n v="1952.065307890188"/>
    <n v="174279.74000000002"/>
    <n v="1638956.14"/>
    <m/>
    <n v="54631.871333333329"/>
    <n v="3296474.06"/>
    <n v="618601"/>
    <n v="2677873.06"/>
    <n v="109882.46866666667"/>
    <n v="0"/>
    <n v="280000"/>
    <n v="0"/>
    <n v="5.3553748320564011E-2"/>
    <m/>
    <m/>
    <n v="12962"/>
    <n v="9333.3333333333339"/>
    <n v="63965.204666666665"/>
    <n v="0"/>
    <n v="0"/>
    <n v="63965.204666666665"/>
    <n v="0"/>
    <n v="63965.204666666665"/>
    <n v="0.37901831105185374"/>
    <n v="165428"/>
    <m/>
    <n v="0"/>
    <n v="4780372.2692322833"/>
    <n v="0.91431019066096131"/>
    <n v="448019.93076771684"/>
    <n v="448019.93076771684"/>
    <n v="1"/>
    <n v="893590.37"/>
    <n v="-600628.37"/>
    <n v="3.0501920726920213"/>
    <m/>
    <m/>
    <m/>
    <m/>
    <n v="0"/>
    <m/>
    <m/>
    <m/>
    <m/>
    <m/>
    <m/>
    <n v="0"/>
    <m/>
  </r>
  <r>
    <s v="Lacaussade 2"/>
    <x v="4"/>
    <x v="2"/>
    <x v="9"/>
    <m/>
    <m/>
    <m/>
    <x v="5"/>
    <m/>
    <m/>
    <m/>
    <m/>
    <m/>
    <m/>
    <m/>
    <m/>
    <m/>
    <m/>
    <m/>
    <m/>
    <m/>
    <m/>
    <m/>
    <m/>
    <m/>
    <m/>
    <m/>
    <m/>
    <x v="2"/>
    <n v="12"/>
    <m/>
    <m/>
    <m/>
    <m/>
    <n v="12"/>
    <m/>
    <m/>
    <n v="0"/>
    <n v="0"/>
    <m/>
    <m/>
    <m/>
    <m/>
    <m/>
    <m/>
    <m/>
    <m/>
    <m/>
    <m/>
    <m/>
    <m/>
    <m/>
    <m/>
    <m/>
    <m/>
    <m/>
    <m/>
    <m/>
    <m/>
    <m/>
    <m/>
    <m/>
    <m/>
    <m/>
    <n v="0"/>
    <m/>
    <m/>
    <m/>
    <n v="0"/>
    <m/>
    <m/>
    <m/>
    <m/>
    <m/>
    <m/>
    <m/>
    <m/>
    <m/>
    <m/>
    <m/>
    <m/>
    <m/>
    <s v="0"/>
    <m/>
    <m/>
    <s v="0"/>
    <m/>
    <m/>
    <s v="0"/>
    <m/>
    <m/>
    <s v="0"/>
    <m/>
    <m/>
    <s v="0"/>
    <m/>
    <m/>
    <m/>
    <m/>
    <s v="0"/>
    <m/>
    <x v="27"/>
    <x v="7"/>
    <n v="1504.3"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d v="1901-12-31T00:00:00"/>
    <m/>
    <m/>
    <d v="1900-05-02T00:00:00"/>
    <m/>
    <d v="1900-01-30T00:00:00"/>
    <x v="23"/>
    <x v="8"/>
    <n v="0"/>
    <m/>
    <n v="0"/>
    <m/>
    <m/>
    <m/>
    <m/>
    <m/>
    <m/>
    <e v="#DIV/0!"/>
    <m/>
    <m/>
    <m/>
    <m/>
    <d v="1901-12-31T00:00:00"/>
    <m/>
    <m/>
    <m/>
    <m/>
    <m/>
    <m/>
    <d v="1900-12-31T00:00:00"/>
    <m/>
    <m/>
    <m/>
    <m/>
    <m/>
    <m/>
    <m/>
    <m/>
    <m/>
    <m/>
    <m/>
    <m/>
    <m/>
    <m/>
    <m/>
    <n v="0"/>
    <n v="0"/>
    <n v="0"/>
    <n v="0"/>
    <e v="#DIV/0!"/>
    <n v="0"/>
    <m/>
    <m/>
    <n v="0"/>
    <n v="0"/>
    <m/>
    <m/>
    <n v="0"/>
    <m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Verveine des Indes (Ilôt 5.1)"/>
    <x v="7"/>
    <x v="0"/>
    <x v="7"/>
    <s v="PRLC 0155"/>
    <s v="YFR"/>
    <s v="DBE"/>
    <x v="0"/>
    <s v="oui"/>
    <m/>
    <m/>
    <s v="SODEGIS"/>
    <s v="QUINOT"/>
    <m/>
    <n v="1500"/>
    <n v="128915"/>
    <n v="128915"/>
    <n v="8057.1875"/>
    <n v="85.943333333333328"/>
    <n v="85.943333333333328"/>
    <n v="91.134345662255399"/>
    <n v="8057.1875"/>
    <n v="93.75"/>
    <m/>
    <n v="106.66666666666667"/>
    <m/>
    <n v="90"/>
    <m/>
    <x v="0"/>
    <n v="16"/>
    <n v="16"/>
    <m/>
    <n v="16"/>
    <m/>
    <m/>
    <n v="1223.02"/>
    <n v="1414.56"/>
    <n v="76.438749999999999"/>
    <n v="88.41"/>
    <n v="5.88"/>
    <n v="5.08"/>
    <n v="449.55"/>
    <n v="0.125"/>
    <n v="0.125"/>
    <n v="0.375"/>
    <n v="0.3125"/>
    <n v="6.25E-2"/>
    <m/>
    <n v="0"/>
    <n v="0"/>
    <n v="2.5"/>
    <s v="collectif"/>
    <s v="oui"/>
    <m/>
    <m/>
    <m/>
    <m/>
    <d v="2014-01-28T00:00:00"/>
    <m/>
    <d v="2014-05-22T00:00:00"/>
    <m/>
    <d v="2014-03-30T00:00:00"/>
    <d v="2014-10-17T00:00:00"/>
    <m/>
    <n v="6.7"/>
    <m/>
    <d v="2015-01-13T00:00:00"/>
    <d v="2015-01-23T00:00:00"/>
    <n v="0.33333333333333331"/>
    <m/>
    <d v="2015-04-22T00:00:00"/>
    <d v="2015-03-11T00:00:00"/>
    <d v="2015-05-01T00:00:00"/>
    <d v="2017-05-01T00:00:00"/>
    <n v="46240"/>
    <s v="oui"/>
    <n v="-3.3666666666666667"/>
    <s v="0"/>
    <n v="46240"/>
    <m/>
    <m/>
    <m/>
    <s v="0"/>
    <m/>
    <m/>
    <s v="0"/>
    <m/>
    <m/>
    <s v="0"/>
    <m/>
    <m/>
    <s v="0"/>
    <m/>
    <m/>
    <s v="0"/>
    <m/>
    <m/>
    <m/>
    <m/>
    <s v="0"/>
    <m/>
    <x v="29"/>
    <x v="8"/>
    <n v="18.633333333333333"/>
    <s v="0"/>
    <n v="13"/>
    <n v="14"/>
    <m/>
    <m/>
    <s v="0"/>
    <m/>
    <m/>
    <s v="0"/>
    <m/>
    <m/>
    <s v="0"/>
    <m/>
    <m/>
    <s v="0"/>
    <m/>
    <m/>
    <s v="0"/>
    <m/>
    <m/>
    <s v="0"/>
    <m/>
    <m/>
    <s v="0"/>
    <m/>
    <m/>
    <m/>
    <d v="2017-05-28T00:00:00"/>
    <d v="2017-07-05T00:00:00"/>
    <n v="1.2666666666666666"/>
    <m/>
    <m/>
    <d v="2017-07-12T00:00:00"/>
    <d v="2016-11-28T00:00:00"/>
    <d v="2017-07-26T00:00:00"/>
    <m/>
    <d v="2017-06-28T00:00:00"/>
    <x v="26"/>
    <x v="4"/>
    <n v="1.4333333333333333"/>
    <n v="7410.2022415377578"/>
    <n v="10621.289879537453"/>
    <d v="2017-06-15T00:00:00"/>
    <n v="0"/>
    <n v="0"/>
    <m/>
    <m/>
    <n v="12993.96"/>
    <n v="4.665640564888658E-3"/>
    <m/>
    <s v="Lot Menui Ext :PVC 400 par Sofaal_x000a_soit 1 sur 15_x000a_1  RO"/>
    <m/>
    <m/>
    <d v="1901-12-31T00:00:00"/>
    <s v="ok"/>
    <s v="ok"/>
    <s v="ok"/>
    <s v="ok"/>
    <d v="2018-02-15T00:00:00"/>
    <d v="2018-04-04T00:00:00"/>
    <d v="2018-07-05T00:00:00"/>
    <n v="9694"/>
    <d v="2017-11-17T00:00:00"/>
    <d v="2017-11-20T00:00:00"/>
    <m/>
    <m/>
    <m/>
    <d v="2018-03-21T00:00:00"/>
    <m/>
    <d v="2018-08-24T00:00:00"/>
    <m/>
    <s v="ok"/>
    <s v="ok"/>
    <s v="ok"/>
    <s v="ok"/>
    <n v="2681224"/>
    <n v="2785032.37"/>
    <n v="2785032.37"/>
    <n v="2785032.37"/>
    <n v="325055"/>
    <n v="1968.832972797195"/>
    <n v="174064.52312500001"/>
    <n v="863024"/>
    <m/>
    <n v="53939"/>
    <n v="1596953.37"/>
    <n v="242605.3"/>
    <n v="1354348.07"/>
    <n v="99809.585625000007"/>
    <m/>
    <n v="320000"/>
    <n v="0"/>
    <n v="0.1148999212529799"/>
    <m/>
    <m/>
    <n v="5055"/>
    <n v="20000"/>
    <n v="73939"/>
    <n v="0"/>
    <n v="0"/>
    <e v="#REF!"/>
    <n v="0"/>
    <n v="73939"/>
    <n v="0.42477926387620407"/>
    <n v="0"/>
    <m/>
    <n v="0"/>
    <m/>
    <n v="0"/>
    <n v="2785032.37"/>
    <n v="2785032.37"/>
    <m/>
    <m/>
    <n v="325055"/>
    <n v="0"/>
    <m/>
    <m/>
    <m/>
    <m/>
    <n v="0"/>
    <m/>
    <m/>
    <m/>
    <m/>
    <m/>
    <m/>
    <n v="0"/>
    <m/>
  </r>
  <r>
    <s v="Fleurs jaunes (Ilôt 6.1)"/>
    <x v="7"/>
    <x v="0"/>
    <x v="7"/>
    <s v="PRLC 0160"/>
    <s v="FHO"/>
    <s v="VAF"/>
    <x v="0"/>
    <m/>
    <m/>
    <s v="convention paroi clouée OK / notaire doit rédiger une constitution de servitude"/>
    <s v="SODEGIS"/>
    <s v="QUINOT"/>
    <m/>
    <n v="2529"/>
    <n v="217810"/>
    <n v="217810"/>
    <n v="7260.333333333333"/>
    <n v="86.124950573349153"/>
    <n v="86.124950573349153"/>
    <n v="84.950954581797617"/>
    <n v="7260.333333333333"/>
    <n v="84.3"/>
    <n v="1077.3"/>
    <n v="118.62396204033215"/>
    <m/>
    <n v="110"/>
    <m/>
    <x v="0"/>
    <n v="30"/>
    <n v="30"/>
    <m/>
    <n v="30"/>
    <m/>
    <m/>
    <n v="2202.3000000000002"/>
    <n v="2563.9499999999998"/>
    <n v="73.410000000000011"/>
    <n v="85.464999999999989"/>
    <n v="5.97"/>
    <n v="5.13"/>
    <n v="438.4627734"/>
    <n v="6.6666666666666666E-2"/>
    <n v="0.4"/>
    <n v="0.4"/>
    <n v="0.1"/>
    <n v="3.3333333333333333E-2"/>
    <m/>
    <n v="0"/>
    <n v="0"/>
    <n v="4"/>
    <s v="collectif"/>
    <s v="oui"/>
    <m/>
    <m/>
    <m/>
    <m/>
    <d v="2014-01-28T00:00:00"/>
    <m/>
    <m/>
    <m/>
    <d v="2014-03-30T00:00:00"/>
    <d v="2014-09-08T00:00:00"/>
    <m/>
    <n v="5.4"/>
    <m/>
    <d v="2015-08-17T00:00:00"/>
    <d v="2015-09-15T00:00:00"/>
    <n v="0.96666666666666667"/>
    <m/>
    <d v="2015-12-15T00:00:00"/>
    <d v="2015-09-22T00:00:00"/>
    <d v="2016-01-01T00:00:00"/>
    <d v="2018-01-01T00:00:00"/>
    <n v="74060"/>
    <s v="oui"/>
    <n v="-7.9333333333333336"/>
    <s v="0"/>
    <n v="74060"/>
    <d v="2013-09-26T00:00:00"/>
    <d v="2013-09-27T00:00:00"/>
    <d v="2013-10-07T00:00:00"/>
    <n v="10"/>
    <d v="2014-02-06T00:00:00"/>
    <d v="2013-12-17T00:00:00"/>
    <n v="-51"/>
    <d v="2014-03-10T00:00:00"/>
    <d v="2014-03-10T00:00:00"/>
    <n v="0"/>
    <d v="2014-07-15T00:00:00"/>
    <d v="2014-07-15T00:00:00"/>
    <n v="0"/>
    <d v="2014-09-10T00:00:00"/>
    <d v="2014-09-10T00:00:00"/>
    <n v="0"/>
    <m/>
    <d v="2015-02-20T00:00:00"/>
    <d v="2015-12-30T00:00:00"/>
    <d v="2017-02-06T00:00:00"/>
    <n v="404"/>
    <d v="2017-02-21T00:00:00"/>
    <x v="8"/>
    <x v="3"/>
    <n v="29.4"/>
    <n v="-15"/>
    <n v="16"/>
    <n v="18"/>
    <d v="2017-04-14T00:00:00"/>
    <d v="2017-04-14T00:00:00"/>
    <n v="0"/>
    <d v="2017-06-22T00:00:00"/>
    <d v="2017-06-21T00:00:00"/>
    <n v="-1"/>
    <d v="2018-02-13T00:00:00"/>
    <d v="2017-12-19T00:00:00"/>
    <n v="-56"/>
    <d v="2018-03-30T00:00:00"/>
    <d v="2018-03-30T00:00:00"/>
    <n v="0"/>
    <d v="2018-02-16T00:00:00"/>
    <d v="2018-04-19T00:00:00"/>
    <n v="62"/>
    <d v="2018-03-09T00:00:00"/>
    <d v="2018-04-26T00:00:00"/>
    <n v="48"/>
    <d v="2018-05-18T00:00:00"/>
    <d v="2018-07-30T00:00:00"/>
    <n v="73"/>
    <d v="2018-05-04T00:00:00"/>
    <d v="2018-05-04T00:00:00"/>
    <d v="2018-03-01T00:00:00"/>
    <d v="2018-06-06T00:00:00"/>
    <d v="2018-08-27T00:00:00"/>
    <n v="2.7333333333333334"/>
    <n v="0"/>
    <d v="2019-06-21T00:00:00"/>
    <d v="2018-08-29T00:00:00"/>
    <d v="2016-11-28T00:00:00"/>
    <d v="2018-09-11T00:00:00"/>
    <s v="7 &amp; 08/08"/>
    <d v="2018-06-21T00:00:00"/>
    <x v="27"/>
    <x v="3"/>
    <n v="2.2333333333333334"/>
    <n v="15089.237093545917"/>
    <n v="33699.296175585878"/>
    <d v="2018-06-27T00:00:00"/>
    <n v="0"/>
    <n v="0"/>
    <n v="101278.04394999999"/>
    <m/>
    <n v="84397"/>
    <n v="1.7663766622373126E-2"/>
    <s v="FMA / FHO"/>
    <m/>
    <s v="avancement PERSM problématique_x000a_mur soutènement arrière_x000a_intempéries"/>
    <s v="problématique foncière non anticipée et propre à la vente en VEFA défisc_x000a_changements de RO_x000a_délai paiement entreprises"/>
    <d v="2019-06-21T00:00:00"/>
    <s v="ok"/>
    <d v="2018-12-07T00:00:00"/>
    <m/>
    <m/>
    <d v="2019-11-26T00:00:00"/>
    <s v="envoi 12/08/19"/>
    <d v="2019-08-27T00:00:00"/>
    <m/>
    <m/>
    <d v="2018-11-13T00:00:00"/>
    <d v="2019-03-28T00:00:00"/>
    <m/>
    <m/>
    <m/>
    <m/>
    <s v="envoi à OFOI 06/11/19"/>
    <m/>
    <d v="2018-10-12T00:00:00"/>
    <m/>
    <d v="2020-01-08T00:00:00"/>
    <m/>
    <m/>
    <n v="4777973"/>
    <n v="4777973"/>
    <n v="4777973"/>
    <n v="609265"/>
    <n v="1863.5203494607931"/>
    <n v="159265.76666666666"/>
    <n v="1462622"/>
    <m/>
    <n v="48754.066666666666"/>
    <n v="2706086"/>
    <n v="461009"/>
    <n v="2245077"/>
    <n v="90202.866666666669"/>
    <m/>
    <n v="600000"/>
    <n v="0"/>
    <n v="0.12557626424427262"/>
    <m/>
    <m/>
    <n v="9265"/>
    <n v="20000"/>
    <n v="68754.066666666666"/>
    <n v="0"/>
    <n v="0"/>
    <n v="68754.066666666666"/>
    <n v="0"/>
    <n v="68754.066666666666"/>
    <n v="0.4316939421800835"/>
    <n v="0"/>
    <m/>
    <n v="0"/>
    <n v="4582214.86063"/>
    <n v="0.9590290402708429"/>
    <n v="195758.13936999999"/>
    <n v="195758.13936999999"/>
    <n v="1"/>
    <n v="343011.52"/>
    <n v="266253.48"/>
    <n v="0.56299232682002087"/>
    <m/>
    <m/>
    <m/>
    <m/>
    <n v="0"/>
    <m/>
    <m/>
    <m/>
    <m/>
    <m/>
    <m/>
    <n v="0"/>
    <m/>
  </r>
  <r>
    <s v="Coco Huet (Parc à Moutons)"/>
    <x v="4"/>
    <x v="2"/>
    <x v="5"/>
    <s v="PRLC 0121"/>
    <s v="YFR"/>
    <s v="DBA"/>
    <x v="0"/>
    <m/>
    <m/>
    <s v="_x000a_1 LOT sous compromis_x000a_Obtenir conformité Mairie"/>
    <s v="Commune"/>
    <s v="BARET"/>
    <d v="2013-12-19T00:00:00"/>
    <n v="11354"/>
    <n v="444858"/>
    <n v="247250"/>
    <n v="13084.058823529413"/>
    <n v="39.180729258411134"/>
    <n v="21.776466443544127"/>
    <n v="93.321959817772139"/>
    <n v="7272.0588235294117"/>
    <n v="333.94117647058823"/>
    <m/>
    <n v="29.945393693852388"/>
    <s v="NAUD"/>
    <n v="300"/>
    <m/>
    <x v="0"/>
    <n v="34"/>
    <n v="34"/>
    <m/>
    <n v="34"/>
    <m/>
    <m/>
    <n v="2599.0999999999995"/>
    <n v="2649.4299999999994"/>
    <n v="76.444117647058803"/>
    <n v="77.924411764705866"/>
    <n v="5.3"/>
    <n v="5.2"/>
    <n v="405.3"/>
    <m/>
    <m/>
    <m/>
    <m/>
    <m/>
    <n v="1035"/>
    <s v="x"/>
    <e v="#VALUE!"/>
    <n v="2"/>
    <s v="MDV"/>
    <s v="non"/>
    <m/>
    <m/>
    <m/>
    <m/>
    <d v="2012-09-21T00:00:00"/>
    <m/>
    <d v="2013-03-15T00:00:00"/>
    <m/>
    <d v="2013-03-30T00:00:00"/>
    <d v="2013-07-29T00:00:00"/>
    <m/>
    <n v="4.0333333333333332"/>
    <m/>
    <d v="2013-10-02T00:00:00"/>
    <d v="2013-10-29T00:00:00"/>
    <n v="0.9"/>
    <m/>
    <d v="2014-01-29T00:00:00"/>
    <m/>
    <d v="2014-02-01T00:00:00"/>
    <d v="2016-02-01T00:00:00"/>
    <n v="90107"/>
    <s v="oui"/>
    <n v="-22.4"/>
    <s v="0"/>
    <n v="90107"/>
    <m/>
    <m/>
    <m/>
    <s v="0"/>
    <m/>
    <m/>
    <s v="0"/>
    <m/>
    <m/>
    <s v="0"/>
    <m/>
    <m/>
    <s v="0"/>
    <m/>
    <m/>
    <s v="0"/>
    <m/>
    <m/>
    <m/>
    <m/>
    <s v="0"/>
    <m/>
    <x v="30"/>
    <x v="6"/>
    <n v="8.1666666666666661"/>
    <s v="0"/>
    <n v="18"/>
    <n v="43"/>
    <m/>
    <m/>
    <s v="0"/>
    <m/>
    <m/>
    <s v="0"/>
    <m/>
    <m/>
    <s v="0"/>
    <m/>
    <m/>
    <s v="0"/>
    <m/>
    <m/>
    <s v="0"/>
    <m/>
    <m/>
    <s v="0"/>
    <m/>
    <m/>
    <s v="0"/>
    <m/>
    <m/>
    <m/>
    <d v="2015-10-01T00:00:00"/>
    <d v="2017-11-29T00:00:00"/>
    <n v="26.333333333333332"/>
    <m/>
    <m/>
    <d v="2018-01-31T00:00:00"/>
    <d v="2015-12-04T00:00:00"/>
    <d v="2017-11-15T00:00:00"/>
    <m/>
    <d v="2015-11-01T00:00:00"/>
    <x v="28"/>
    <x v="4"/>
    <n v="25.466666666666665"/>
    <n v="14196.666666666666"/>
    <n v="361541.77777777775"/>
    <d v="2017-09-04T00:00:00"/>
    <n v="51376"/>
    <n v="0"/>
    <n v="30629.999999999996"/>
    <m/>
    <n v="127571.90799999998"/>
    <n v="2.1677246353851463E-2"/>
    <m/>
    <s v="Lot Charpente Couverture : Trait Carré par HJP_x000a_Lot Gros-œuvre : Robert Construction par CH2D_x000a_Lot Men Ext :APOI par Espace Alu_x000a_Lot électricité : Electric Services par_x000a_Lot Gros-Œuvre : CH2D par DRMS_x000a_Lot OPC_x000a_Lot plomberie : Fluides OI par_x000a_Soit 7 lots sur 14 = 50%_x000a_3 RO"/>
    <m/>
    <m/>
    <d v="1901-12-31T00:00:00"/>
    <s v="reste 1 réserve"/>
    <d v="2018-03-05T00:00:00"/>
    <m/>
    <m/>
    <d v="2018-05-16T00:00:00"/>
    <d v="2019-10-29T00:00:00"/>
    <d v="2018-11-29T00:00:00"/>
    <n v="56500"/>
    <d v="2018-02-22T00:00:00"/>
    <d v="2018-03-12T00:00:00"/>
    <m/>
    <m/>
    <m/>
    <d v="2018-04-23T00:00:00"/>
    <m/>
    <s v="envoi INGEPAR 30/11/18"/>
    <m/>
    <d v="2018-05-22T00:00:00"/>
    <s v="ok"/>
    <d v="2019-08-20T00:00:00"/>
    <s v="ok"/>
    <n v="5039187"/>
    <n v="5885060.5800000001"/>
    <n v="5885060.5800000001"/>
    <n v="5885060.5800000001"/>
    <n v="680000"/>
    <n v="2221.2553568125982"/>
    <n v="173090.01705882352"/>
    <n v="1600171.58"/>
    <m/>
    <n v="47063.87"/>
    <n v="3023907"/>
    <n v="650910"/>
    <n v="2372997"/>
    <n v="88938.441176470587"/>
    <n v="580982"/>
    <n v="680000"/>
    <m/>
    <n v="0.11554681396329823"/>
    <m/>
    <m/>
    <n v="0"/>
    <n v="20000"/>
    <n v="67063.87"/>
    <n v="1298644.9078014998"/>
    <n v="680000"/>
    <e v="#REF!"/>
    <n v="0"/>
    <n v="87063.87"/>
    <n v="0.42707533654989638"/>
    <n v="252442.25"/>
    <m/>
    <n v="0"/>
    <m/>
    <n v="0"/>
    <n v="5885060.5800000001"/>
    <n v="5885060.5800000001"/>
    <m/>
    <m/>
    <n v="680000"/>
    <n v="0"/>
    <m/>
    <m/>
    <m/>
    <m/>
    <n v="0"/>
    <m/>
    <m/>
    <m/>
    <m/>
    <m/>
    <m/>
    <n v="0"/>
    <m/>
  </r>
  <r>
    <s v="Lacaussade 3"/>
    <x v="4"/>
    <x v="2"/>
    <x v="3"/>
    <s v="PRLC 0166"/>
    <s v="TQU"/>
    <s v="DAM"/>
    <x v="0"/>
    <m/>
    <m/>
    <m/>
    <s v="SODEGIS"/>
    <s v="LE GOFF"/>
    <m/>
    <n v="779"/>
    <n v="195000"/>
    <n v="195000"/>
    <n v="9750"/>
    <n v="250.32092426187421"/>
    <n v="250.32092426187421"/>
    <n v="150.05655978022486"/>
    <n v="9750"/>
    <n v="38.950000000000003"/>
    <m/>
    <n v="256.73940949935815"/>
    <s v="UA"/>
    <n v="35"/>
    <n v="0"/>
    <x v="0"/>
    <n v="20"/>
    <n v="20"/>
    <m/>
    <n v="20"/>
    <m/>
    <m/>
    <n v="1299.51"/>
    <n v="1299.51"/>
    <n v="64.975499999999997"/>
    <n v="64.975499999999997"/>
    <n v="5.59"/>
    <n v="5.59"/>
    <n v="363.43"/>
    <n v="0.2"/>
    <n v="0.4"/>
    <n v="0.2"/>
    <n v="0.2"/>
    <n v="0"/>
    <m/>
    <n v="0"/>
    <n v="0"/>
    <n v="4"/>
    <s v="collectif"/>
    <s v="non"/>
    <m/>
    <m/>
    <m/>
    <m/>
    <d v="2014-10-09T00:00:00"/>
    <m/>
    <m/>
    <m/>
    <d v="2015-03-30T00:00:00"/>
    <d v="2015-09-02T00:00:00"/>
    <m/>
    <n v="5.2"/>
    <m/>
    <d v="2016-08-24T00:00:00"/>
    <d v="2016-09-07T00:00:00"/>
    <n v="0.46666666666666667"/>
    <m/>
    <d v="2016-12-07T00:00:00"/>
    <d v="2016-10-03T00:00:00"/>
    <d v="2017-01-01T00:00:00"/>
    <d v="2019-01-01T00:00:00"/>
    <n v="41890"/>
    <s v="non"/>
    <n v="4.333333333333333"/>
    <n v="37459.03043455728"/>
    <n v="4430.9695654427196"/>
    <d v="2014-07-08T00:00:00"/>
    <d v="2014-07-09T00:00:00"/>
    <d v="2014-08-11T00:00:00"/>
    <n v="33"/>
    <d v="2015-02-13T00:00:00"/>
    <d v="2015-02-05T00:00:00"/>
    <n v="-8"/>
    <d v="2015-01-23T00:00:00"/>
    <d v="2015-01-23T00:00:00"/>
    <n v="0"/>
    <d v="2015-04-27T00:00:00"/>
    <d v="2015-06-29T00:00:00"/>
    <n v="63"/>
    <d v="2015-08-28T00:00:00"/>
    <d v="2015-09-07T00:00:00"/>
    <n v="10"/>
    <m/>
    <d v="2016-06-07T00:00:00"/>
    <d v="2017-03-16T00:00:00"/>
    <d v="2017-02-15T00:00:00"/>
    <n v="-29"/>
    <d v="2017-03-02T00:00:00"/>
    <x v="31"/>
    <x v="3"/>
    <n v="17.899999999999999"/>
    <n v="-10"/>
    <n v="14"/>
    <n v="17"/>
    <d v="2017-05-05T00:00:00"/>
    <d v="2017-06-07T00:00:00"/>
    <n v="33"/>
    <d v="2017-06-13T00:00:00"/>
    <d v="2017-08-31T00:00:00"/>
    <n v="79"/>
    <d v="2017-08-31T00:00:00"/>
    <d v="2017-11-15T00:00:00"/>
    <n v="76"/>
    <d v="2017-11-15T00:00:00"/>
    <d v="2018-03-22T00:00:00"/>
    <n v="127"/>
    <d v="2017-11-08T00:00:00"/>
    <d v="2019-05-19T00:00:00"/>
    <n v="557"/>
    <d v="2018-03-08T00:00:00"/>
    <d v="2019-07-19T00:00:00"/>
    <n v="498"/>
    <d v="2018-04-10T00:00:00"/>
    <d v="2018-08-01T00:00:00"/>
    <n v="113"/>
    <m/>
    <m/>
    <m/>
    <d v="2018-04-20T00:00:00"/>
    <d v="2018-08-14T00:00:00"/>
    <n v="3.8666666666666667"/>
    <n v="0"/>
    <d v="2019-08-31T00:00:00"/>
    <d v="2018-09-18T00:00:00"/>
    <d v="2017-05-24T00:00:00"/>
    <d v="2018-08-15T00:00:00"/>
    <d v="2018-08-16T00:00:00"/>
    <d v="2018-05-05T00:00:00"/>
    <x v="29"/>
    <x v="3"/>
    <n v="3.7"/>
    <n v="8644.3916387439876"/>
    <n v="31984.249063352756"/>
    <d v="2018-07-26T00:00:00"/>
    <n v="0"/>
    <n v="9793.0299999999988"/>
    <n v="11509.23"/>
    <n v="0"/>
    <n v="31941.984999999997"/>
    <n v="1.1525215067660913E-2"/>
    <s v="JMO / NBL / FBR"/>
    <s v="Lot plomberie _x000a_Lot peinture, étanchéité"/>
    <s v="difficultés de terrassement dû à la nature du sol rencontré (courrier LASETRA) /retard galvanisation charpente+ 45 jours"/>
    <m/>
    <d v="2019-08-31T00:00:00"/>
    <s v="ok"/>
    <d v="2018-12-06T00:00:00"/>
    <m/>
    <s v="ok"/>
    <d v="2019-08-08T00:00:00"/>
    <d v="2019-01-09T00:00:00"/>
    <d v="2019-08-14T00:00:00"/>
    <m/>
    <m/>
    <d v="2018-11-15T00:00:00"/>
    <d v="2019-03-05T00:00:00"/>
    <m/>
    <m/>
    <m/>
    <m/>
    <s v="envoi à OFOI 02/12/2019"/>
    <m/>
    <d v="2018-10-16T00:00:00"/>
    <m/>
    <m/>
    <m/>
    <m/>
    <n v="2771487.11"/>
    <n v="2771487.11"/>
    <n v="2771487.11"/>
    <n v="411757"/>
    <n v="2132.7170318042954"/>
    <n v="138574.35550000001"/>
    <n v="803098"/>
    <m/>
    <n v="40154.9"/>
    <n v="1544668"/>
    <n v="339371"/>
    <n v="1205297"/>
    <n v="77233.399999999994"/>
    <m/>
    <n v="400000"/>
    <m/>
    <n v="0.14432684841171786"/>
    <m/>
    <m/>
    <n v="11757"/>
    <n v="20000"/>
    <n v="60154.9"/>
    <n v="0"/>
    <n v="0"/>
    <n v="60154.9"/>
    <n v="0"/>
    <n v="60154.9"/>
    <n v="0.4340983566761023"/>
    <n v="0"/>
    <m/>
    <n v="11964.11"/>
    <n v="2524740.5956999999"/>
    <n v="0.91096963308626033"/>
    <n v="246746.51429999992"/>
    <n v="246746.51429999992"/>
    <n v="1"/>
    <n v="316226.06"/>
    <n v="95530.94"/>
    <n v="0.76799194670643123"/>
    <m/>
    <m/>
    <m/>
    <m/>
    <n v="0"/>
    <m/>
    <m/>
    <m/>
    <m/>
    <m/>
    <m/>
    <n v="0"/>
    <m/>
  </r>
  <r>
    <s v="FANFAN"/>
    <x v="10"/>
    <x v="1"/>
    <x v="5"/>
    <s v="PRLC 0149"/>
    <m/>
    <s v="DAM"/>
    <x v="3"/>
    <m/>
    <m/>
    <s v=" servitude EP OK / échange de lot à faire_x000a_DA  en cours pour les lots_x000a_manque les pièces PA_x000a_rétrocession des 3 rues à faire mais appartiennent à INGEPAR / DA à faire par BJE_x000a_1 des lots est occupé"/>
    <s v="EPFR"/>
    <s v="DUBOIS"/>
    <d v="2013-12-11T00:00:00"/>
    <n v="15520"/>
    <n v="130195"/>
    <n v="184575"/>
    <n v="5424.791666666667"/>
    <n v="8.3888530927835046"/>
    <n v="11.892719072164949"/>
    <n v="99.719601931991306"/>
    <n v="7690.625"/>
    <n v="646.66666666666663"/>
    <m/>
    <n v="15.463917525773196"/>
    <s v="NAU"/>
    <n v="790"/>
    <m/>
    <x v="0"/>
    <n v="24"/>
    <n v="24"/>
    <m/>
    <n v="24"/>
    <m/>
    <m/>
    <n v="1832.54"/>
    <n v="1850.94"/>
    <n v="76.355833333333337"/>
    <n v="77.122500000000002"/>
    <n v="5.27"/>
    <n v="5.22"/>
    <n v="402.32"/>
    <m/>
    <m/>
    <m/>
    <m/>
    <m/>
    <m/>
    <n v="700"/>
    <n v="4.5103092783505154E-2"/>
    <n v="1.5"/>
    <s v="MDV"/>
    <s v="non"/>
    <m/>
    <m/>
    <m/>
    <m/>
    <m/>
    <m/>
    <d v="2013-03-13T00:00:00"/>
    <m/>
    <d v="2013-03-30T00:00:00"/>
    <d v="2013-09-19T00:00:00"/>
    <m/>
    <n v="5.7666666666666666"/>
    <m/>
    <d v="2013-10-03T00:00:00"/>
    <d v="2013-10-28T00:00:00"/>
    <n v="0.83333333333333337"/>
    <m/>
    <d v="2013-10-30T00:00:00"/>
    <m/>
    <d v="2013-11-01T00:00:00"/>
    <d v="2015-11-01T00:00:00"/>
    <n v="61955"/>
    <s v="oui"/>
    <n v="-15.5"/>
    <s v="0"/>
    <n v="61955"/>
    <m/>
    <m/>
    <m/>
    <s v="0"/>
    <m/>
    <m/>
    <s v="0"/>
    <m/>
    <m/>
    <s v="0"/>
    <m/>
    <m/>
    <s v="0"/>
    <m/>
    <m/>
    <s v="0"/>
    <m/>
    <m/>
    <m/>
    <m/>
    <s v="0"/>
    <m/>
    <x v="32"/>
    <x v="6"/>
    <n v="11.333333333333334"/>
    <s v="0"/>
    <n v="14"/>
    <n v="27"/>
    <m/>
    <m/>
    <s v="0"/>
    <m/>
    <m/>
    <s v="0"/>
    <m/>
    <m/>
    <s v="0"/>
    <m/>
    <m/>
    <s v="0"/>
    <m/>
    <m/>
    <s v="0"/>
    <m/>
    <m/>
    <s v="0"/>
    <m/>
    <m/>
    <s v="0"/>
    <m/>
    <m/>
    <m/>
    <d v="2015-10-25T00:00:00"/>
    <d v="2016-11-30T00:00:00"/>
    <n v="13.4"/>
    <m/>
    <m/>
    <d v="2017-02-08T00:00:00"/>
    <s v="ok"/>
    <s v="ok"/>
    <m/>
    <d v="2015-11-25T00:00:00"/>
    <x v="30"/>
    <x v="4"/>
    <n v="14.7"/>
    <n v="9655.5641448000006"/>
    <n v="141936.79292856"/>
    <m/>
    <m/>
    <n v="384475"/>
    <m/>
    <m/>
    <n v="59499.795999999995"/>
    <n v="1.4195146960832471E-2"/>
    <m/>
    <s v="Lot VRD_x000a_Lot Men Ext_x000a_Soit 2 lots sur 15 soit 13%_x000a_3 RO"/>
    <m/>
    <m/>
    <d v="1901-12-31T00:00:00"/>
    <s v="réserves à lever"/>
    <s v="ok"/>
    <s v="attente notification de la réception"/>
    <s v="manque 4 entreprises"/>
    <d v="2017-06-26T00:00:00"/>
    <s v="ok"/>
    <d v="2017-11-30T00:00:00"/>
    <n v="29948"/>
    <s v="ok"/>
    <d v="2017-06-21T00:00:00"/>
    <m/>
    <m/>
    <m/>
    <d v="2018-04-12T00:00:00"/>
    <m/>
    <s v="envoi Arrangeur 18/04/18"/>
    <s v="à déposer"/>
    <d v="2017-09-25T00:00:00"/>
    <s v="ok"/>
    <m/>
    <m/>
    <n v="3574384"/>
    <n v="4191559"/>
    <n v="4191559"/>
    <n v="4191559"/>
    <n v="504894"/>
    <n v="2264.5569278312641"/>
    <n v="174648.29166666666"/>
    <n v="1042673"/>
    <m/>
    <n v="43444.708333333336"/>
    <n v="2051712"/>
    <n v="255345"/>
    <n v="1796367"/>
    <n v="85488"/>
    <n v="327805"/>
    <n v="360000"/>
    <n v="120000"/>
    <n v="8.5886897929863329E-2"/>
    <m/>
    <m/>
    <n v="24894"/>
    <n v="15000"/>
    <n v="58444.708333333336"/>
    <n v="1244630.4489499999"/>
    <n v="480000"/>
    <e v="#REF!"/>
    <n v="0"/>
    <n v="78444.708333333328"/>
    <n v="0.35875892924572422"/>
    <n v="188451.07500000001"/>
    <m/>
    <n v="384475"/>
    <m/>
    <n v="0"/>
    <n v="4191559"/>
    <n v="4191559"/>
    <m/>
    <m/>
    <n v="504894"/>
    <n v="0"/>
    <m/>
    <m/>
    <m/>
    <m/>
    <n v="0"/>
    <m/>
    <m/>
    <m/>
    <m/>
    <m/>
    <m/>
    <n v="0"/>
    <m/>
  </r>
  <r>
    <s v="VEFA Paule &amp; Gaston"/>
    <x v="11"/>
    <x v="0"/>
    <x v="6"/>
    <s v="PRLC 0191"/>
    <s v="YFR"/>
    <s v="DAM"/>
    <x v="0"/>
    <m/>
    <s v="AS 473/1384"/>
    <m/>
    <m/>
    <m/>
    <m/>
    <n v="807"/>
    <n v="250272"/>
    <n v="250272"/>
    <n v="10881.391304347826"/>
    <n v="310.12639405204459"/>
    <n v="310.12639405204459"/>
    <n v="162.92583213441748"/>
    <n v="10881.391304347826"/>
    <n v="35.086956521739133"/>
    <m/>
    <n v="285.00619578686491"/>
    <m/>
    <n v="270"/>
    <m/>
    <x v="0"/>
    <n v="23"/>
    <n v="23"/>
    <m/>
    <n v="23"/>
    <m/>
    <m/>
    <n v="1332.5"/>
    <n v="1536.11"/>
    <n v="57.934782608695649"/>
    <n v="66.787391304347821"/>
    <n v="6.4"/>
    <n v="5.55"/>
    <n v="370.82"/>
    <m/>
    <m/>
    <m/>
    <m/>
    <m/>
    <m/>
    <m/>
    <m/>
    <n v="4"/>
    <s v="collectif"/>
    <s v="oui"/>
    <n v="2973918"/>
    <n v="2231.8333958724202"/>
    <n v="1936.0058849952154"/>
    <n v="129300.78260869565"/>
    <m/>
    <m/>
    <m/>
    <m/>
    <d v="2016-03-30T00:00:00"/>
    <d v="2016-06-22T00:00:00"/>
    <m/>
    <n v="2.8"/>
    <m/>
    <d v="2016-08-24T00:00:00"/>
    <d v="2016-09-07T00:00:00"/>
    <n v="0.46666666666666667"/>
    <m/>
    <d v="2016-12-07T00:00:00"/>
    <d v="2016-10-11T00:00:00"/>
    <d v="2017-01-01T00:00:00"/>
    <d v="2019-01-01T00:00:00"/>
    <n v="48526"/>
    <s v="non"/>
    <n v="7.4666666666666668"/>
    <n v="70105.489161526566"/>
    <n v="-21579.489161526566"/>
    <m/>
    <m/>
    <m/>
    <s v="0"/>
    <d v="2015-02-06T00:00:00"/>
    <d v="2015-02-06T00:00:00"/>
    <n v="0"/>
    <m/>
    <m/>
    <s v="0"/>
    <m/>
    <m/>
    <s v="0"/>
    <m/>
    <m/>
    <s v="0"/>
    <m/>
    <m/>
    <m/>
    <m/>
    <s v="0"/>
    <d v="2017-01-06T00:00:00"/>
    <x v="33"/>
    <x v="8"/>
    <n v="1.3333333333333333"/>
    <n v="-158"/>
    <n v="18"/>
    <n v="20"/>
    <m/>
    <m/>
    <s v="0"/>
    <d v="2016-12-08T00:00:00"/>
    <d v="2016-12-08T00:00:00"/>
    <n v="0"/>
    <m/>
    <d v="2017-09-16T00:00:00"/>
    <s v="0"/>
    <m/>
    <d v="2017-10-16T00:00:00"/>
    <s v="0"/>
    <d v="2017-07-30T00:00:00"/>
    <d v="2017-11-14T00:00:00"/>
    <n v="107"/>
    <d v="2017-08-30T00:00:00"/>
    <d v="2017-11-14T00:00:00"/>
    <n v="76"/>
    <d v="2018-03-30T00:00:00"/>
    <d v="2020-04-29T00:00:00"/>
    <n v="761"/>
    <d v="2018-04-13T00:00:00"/>
    <d v="2018-04-13T00:00:00"/>
    <d v="2018-04-13T00:00:00"/>
    <d v="2018-02-01T00:00:00"/>
    <d v="2018-04-20T00:00:00"/>
    <n v="2.6"/>
    <n v="0"/>
    <m/>
    <d v="2018-04-20T00:00:00"/>
    <d v="2017-10-16T00:00:00"/>
    <s v="ok"/>
    <m/>
    <d v="2018-03-01T00:00:00"/>
    <x v="31"/>
    <x v="3"/>
    <n v="2.7333333333333334"/>
    <n v="9389.1280127044502"/>
    <n v="25663.616568058831"/>
    <d v="2018-03-22T00:00:00"/>
    <n v="0"/>
    <n v="0"/>
    <n v="0"/>
    <m/>
    <n v="0"/>
    <n v="0"/>
    <s v="MFL / ADE"/>
    <m/>
    <m/>
    <m/>
    <d v="2018-12-08T00:00:00"/>
    <s v="ok"/>
    <s v="ok"/>
    <s v="ok"/>
    <s v="ok"/>
    <d v="2018-08-22T00:00:00"/>
    <s v="ok"/>
    <d v="2019-04-20T00:00:00"/>
    <m/>
    <m/>
    <s v="ok"/>
    <m/>
    <m/>
    <m/>
    <m/>
    <m/>
    <s v="envoyé arrangeur 11/10/18"/>
    <m/>
    <d v="2018-08-03T00:00:00"/>
    <m/>
    <d v="2019-07-25T00:00:00"/>
    <m/>
    <m/>
    <n v="3202767"/>
    <n v="3202767"/>
    <n v="3202767"/>
    <n v="529000"/>
    <n v="2084.9854502607236"/>
    <n v="139250.73913043478"/>
    <n v="901691"/>
    <m/>
    <n v="39203.956521739128"/>
    <n v="1772076"/>
    <n v="296327"/>
    <n v="1475749"/>
    <n v="77046.782608695648"/>
    <m/>
    <n v="529000"/>
    <m/>
    <n v="0.16516967984246123"/>
    <m/>
    <m/>
    <m/>
    <n v="23000"/>
    <n v="62203.956521739128"/>
    <m/>
    <m/>
    <e v="#REF!"/>
    <m/>
    <n v="62203.956521739128"/>
    <e v="#REF!"/>
    <m/>
    <m/>
    <m/>
    <n v="3202766.9997900003"/>
    <n v="0.99999999993443178"/>
    <n v="2.0999973639845848E-4"/>
    <n v="2.0999973639845848E-4"/>
    <n v="1"/>
    <n v="2949865"/>
    <n v="-2420865"/>
    <n v="5.5763043478260865"/>
    <m/>
    <m/>
    <m/>
    <m/>
    <n v="0"/>
    <m/>
    <m/>
    <m/>
    <m/>
    <m/>
    <m/>
    <n v="0"/>
    <m/>
  </r>
  <r>
    <s v="Flamboyants (Avenue Raymond Barre)"/>
    <x v="7"/>
    <x v="0"/>
    <x v="4"/>
    <s v="PRLC 0116"/>
    <s v="FHO"/>
    <m/>
    <x v="0"/>
    <s v="oui"/>
    <m/>
    <m/>
    <m/>
    <m/>
    <m/>
    <n v="2671"/>
    <n v="176000"/>
    <n v="110833"/>
    <n v="12571.428571428571"/>
    <n v="65.89292399850244"/>
    <n v="41.494945713216026"/>
    <n v="100.10205924855489"/>
    <n v="7916.6428571428569"/>
    <n v="190.78571428571428"/>
    <n v="748.11"/>
    <n v="52.414825907899662"/>
    <s v="UC"/>
    <m/>
    <m/>
    <x v="0"/>
    <n v="14"/>
    <n v="14"/>
    <m/>
    <n v="14"/>
    <m/>
    <m/>
    <n v="931.1"/>
    <n v="1107.2000000000003"/>
    <n v="66.507142857142853"/>
    <n v="79.085714285714303"/>
    <n v="6.0229784813661276"/>
    <n v="5.0650246242774566"/>
    <n v="400.57109028571438"/>
    <n v="0.21428571428571427"/>
    <n v="0.21428571428571427"/>
    <n v="0.42857142857142855"/>
    <n v="7.1428571428571425E-2"/>
    <n v="7.1428571428571425E-2"/>
    <n v="1000"/>
    <m/>
    <n v="0"/>
    <n v="3"/>
    <s v="collectif"/>
    <s v="non"/>
    <m/>
    <m/>
    <m/>
    <m/>
    <m/>
    <m/>
    <d v="2012-02-24T00:00:00"/>
    <m/>
    <d v="2012-03-30T00:00:00"/>
    <d v="2012-09-18T00:00:00"/>
    <m/>
    <n v="5.7333333333333334"/>
    <m/>
    <m/>
    <m/>
    <m/>
    <m/>
    <m/>
    <m/>
    <d v="2013-04-01T00:00:00"/>
    <d v="2015-04-01T00:00:00"/>
    <m/>
    <s v="non"/>
    <n v="4.9333333333333336"/>
    <n v="28502.318142881708"/>
    <n v="-28502.318142881708"/>
    <m/>
    <m/>
    <m/>
    <s v="0"/>
    <m/>
    <m/>
    <s v="0"/>
    <m/>
    <m/>
    <s v="0"/>
    <m/>
    <m/>
    <s v="0"/>
    <m/>
    <m/>
    <s v="0"/>
    <m/>
    <m/>
    <m/>
    <m/>
    <s v="0"/>
    <m/>
    <x v="11"/>
    <x v="4"/>
    <n v="4.6333333333333337"/>
    <s v="0"/>
    <n v="13"/>
    <n v="20"/>
    <m/>
    <m/>
    <s v="0"/>
    <m/>
    <m/>
    <s v="0"/>
    <m/>
    <m/>
    <s v="0"/>
    <m/>
    <m/>
    <s v="0"/>
    <m/>
    <m/>
    <s v="0"/>
    <m/>
    <m/>
    <s v="0"/>
    <m/>
    <m/>
    <s v="0"/>
    <m/>
    <m/>
    <m/>
    <d v="2014-03-04T00:00:00"/>
    <d v="2014-10-31T00:00:00"/>
    <n v="8.0333333333333332"/>
    <m/>
    <m/>
    <d v="2014-12-10T00:00:00"/>
    <s v="ok"/>
    <d v="2014-11-06T00:00:00"/>
    <m/>
    <d v="2014-04-04T00:00:00"/>
    <x v="32"/>
    <x v="1"/>
    <n v="7.1333333333333337"/>
    <n v="5777.4969208543998"/>
    <n v="41212.811368761388"/>
    <m/>
    <m/>
    <n v="123760"/>
    <m/>
    <m/>
    <m/>
    <n v="0"/>
    <m/>
    <s v="Lot Cloison : SPB par CPR_x000a_Lot Etanchéité : RSOP par Corail_x000a_Lot Sol souple : RSOP par Corail_x000a_Lot peinture : RSOP par Marine Peinture_x000a_Soit 4 lots sur 15 lots = 26 %"/>
    <m/>
    <m/>
    <d v="1901-12-31T00:00:00"/>
    <m/>
    <m/>
    <m/>
    <m/>
    <s v="ok"/>
    <d v="2019-12-02T00:00:00"/>
    <d v="2015-10-31T00:00:00"/>
    <n v="19707.689999999999"/>
    <d v="2014-11-26T00:00:00"/>
    <d v="2014-12-11T00:00:00"/>
    <m/>
    <d v="2015-11-16T00:00:00"/>
    <d v="2015-11-16T00:00:00"/>
    <m/>
    <s v="SO"/>
    <d v="2017-06-20T00:00:00"/>
    <m/>
    <s v="ok"/>
    <m/>
    <d v="2016-02-26T00:00:00"/>
    <m/>
    <m/>
    <n v="2298881"/>
    <n v="2298881"/>
    <n v="2298881"/>
    <n v="159905"/>
    <n v="2076.3014812138722"/>
    <n v="164205.78571428571"/>
    <n v="745095"/>
    <m/>
    <n v="53221.071428571428"/>
    <n v="1240121"/>
    <n v="347814"/>
    <n v="892307"/>
    <n v="88580.071428571435"/>
    <n v="100000"/>
    <n v="89905"/>
    <n v="70000"/>
    <n v="3.9108157403536764E-2"/>
    <m/>
    <m/>
    <n v="0"/>
    <n v="6421.7857142857147"/>
    <n v="59642.857142857145"/>
    <n v="339632.49384750001"/>
    <n v="210000"/>
    <n v="74642.857142857145"/>
    <n v="0"/>
    <n v="74642.857142857145"/>
    <n v="0.41472798358403962"/>
    <n v="118789.62334999999"/>
    <m/>
    <n v="123760"/>
    <m/>
    <n v="0"/>
    <n v="2298881"/>
    <n v="2298881"/>
    <m/>
    <m/>
    <n v="159905"/>
    <n v="0"/>
    <m/>
    <m/>
    <m/>
    <m/>
    <n v="0"/>
    <m/>
    <m/>
    <m/>
    <m/>
    <m/>
    <m/>
    <n v="0"/>
    <m/>
  </r>
  <r>
    <s v="VEFA Petunias"/>
    <x v="2"/>
    <x v="2"/>
    <x v="7"/>
    <s v="PRLC 0165"/>
    <s v="YFR"/>
    <s v="DBA"/>
    <x v="0"/>
    <m/>
    <m/>
    <m/>
    <m/>
    <m/>
    <m/>
    <n v="3512"/>
    <n v="977347"/>
    <n v="977347"/>
    <n v="19546.939999999999"/>
    <n v="278.28787015945329"/>
    <n v="278.28787015945329"/>
    <n v="217.55371245915362"/>
    <n v="19546.939999999999"/>
    <n v="70.239999999999995"/>
    <m/>
    <n v="142.36902050113895"/>
    <s v="UA"/>
    <m/>
    <m/>
    <x v="0"/>
    <n v="50"/>
    <n v="50"/>
    <m/>
    <n v="50"/>
    <m/>
    <m/>
    <n v="3918.4"/>
    <n v="4492.4399999999996"/>
    <n v="78.367999999999995"/>
    <n v="89.848799999999997"/>
    <n v="5.81"/>
    <n v="5.0599999999999996"/>
    <n v="454.97"/>
    <m/>
    <m/>
    <m/>
    <m/>
    <m/>
    <m/>
    <n v="0"/>
    <n v="0"/>
    <n v="4"/>
    <s v="collectif"/>
    <s v="oui"/>
    <n v="8177215"/>
    <n v="2086.8760208248264"/>
    <n v="1820.2168532022688"/>
    <n v="163544.29999999999"/>
    <d v="2013-11-13T00:00:00"/>
    <m/>
    <m/>
    <m/>
    <d v="2014-03-30T00:00:00"/>
    <d v="2014-07-28T00:00:00"/>
    <m/>
    <n v="4"/>
    <m/>
    <d v="2015-08-12T00:00:00"/>
    <d v="2015-09-03T00:00:00"/>
    <n v="0.73333333333333328"/>
    <m/>
    <d v="2015-11-20T00:00:00"/>
    <d v="2015-09-17T00:00:00"/>
    <d v="2015-12-01T00:00:00"/>
    <d v="2017-12-01T00:00:00"/>
    <m/>
    <s v="oui"/>
    <n v="-4.5666666666666664"/>
    <s v="0"/>
    <n v="0"/>
    <m/>
    <m/>
    <m/>
    <s v="0"/>
    <d v="2014-02-06T00:00:00"/>
    <d v="2012-02-07T00:00:00"/>
    <n v="-730"/>
    <m/>
    <m/>
    <s v="0"/>
    <m/>
    <m/>
    <s v="0"/>
    <m/>
    <m/>
    <s v="0"/>
    <m/>
    <m/>
    <m/>
    <m/>
    <s v="0"/>
    <d v="2015-12-11T00:00:00"/>
    <x v="34"/>
    <x v="5"/>
    <n v="16.666666666666668"/>
    <n v="-1"/>
    <n v="24"/>
    <n v="27"/>
    <m/>
    <m/>
    <s v="0"/>
    <m/>
    <d v="2016-08-24T00:00:00"/>
    <s v="0"/>
    <m/>
    <m/>
    <s v="0"/>
    <m/>
    <d v="2017-07-13T00:00:00"/>
    <s v="0"/>
    <m/>
    <d v="2017-10-26T00:00:00"/>
    <s v="0"/>
    <m/>
    <m/>
    <s v="0"/>
    <m/>
    <d v="2017-11-13T00:00:00"/>
    <s v="0"/>
    <m/>
    <m/>
    <m/>
    <d v="2017-12-10T00:00:00"/>
    <d v="2018-03-30T00:00:00"/>
    <n v="3.6666666666666665"/>
    <n v="0"/>
    <m/>
    <d v="2018-03-30T00:00:00"/>
    <d v="2017-10-09T00:00:00"/>
    <d v="2018-03-30T00:00:00"/>
    <m/>
    <d v="2018-01-10T00:00:00"/>
    <x v="33"/>
    <x v="3"/>
    <n v="3.2333333333333334"/>
    <n v="25338.951325993217"/>
    <n v="81929.275954044744"/>
    <s v="sem 12/02 : T5"/>
    <n v="119075"/>
    <n v="43453.51"/>
    <m/>
    <m/>
    <n v="0"/>
    <n v="0"/>
    <s v="FMA / YFR"/>
    <m/>
    <s v="équipement local refoulement par CASUD à partir du 05/02 (1 mois travaux)"/>
    <s v="décalage de programmation"/>
    <d v="2018-08-24T00:00:00"/>
    <m/>
    <d v="2018-06-11T00:00:00"/>
    <m/>
    <m/>
    <d v="2018-09-04T00:00:00"/>
    <m/>
    <d v="2019-03-30T00:00:00"/>
    <m/>
    <m/>
    <d v="2018-08-28T00:00:00"/>
    <m/>
    <m/>
    <d v="2019-04-19T00:00:00"/>
    <m/>
    <m/>
    <s v="envoi INGEPAR 16/05/19"/>
    <m/>
    <d v="2018-07-06T00:00:00"/>
    <m/>
    <d v="2019-10-24T00:00:00"/>
    <s v="ok"/>
    <m/>
    <n v="8805106.0449999999"/>
    <n v="8805106.0449999999"/>
    <n v="8805106.0449999999"/>
    <n v="925000"/>
    <n v="1959.9830036683852"/>
    <n v="176102.12090000001"/>
    <n v="2572426.04"/>
    <m/>
    <n v="51448.520799999998"/>
    <n v="5272823.875"/>
    <n v="1076863.6000000001"/>
    <n v="4195960.2750000004"/>
    <n v="105456.47749999999"/>
    <m/>
    <n v="925000"/>
    <n v="0"/>
    <n v="0.10505268139561628"/>
    <m/>
    <m/>
    <n v="0"/>
    <n v="18500"/>
    <n v="69948.520799999998"/>
    <m/>
    <n v="0"/>
    <n v="69948.520799999998"/>
    <m/>
    <n v="69948.520799999998"/>
    <n v="0.39720430647011024"/>
    <m/>
    <m/>
    <n v="34856.129999999997"/>
    <n v="8618421.7041630428"/>
    <n v="0.97879817234649136"/>
    <n v="186684.3408369571"/>
    <n v="186684.3408369571"/>
    <n v="1"/>
    <n v="553480.56000000006"/>
    <n v="371519.43999999994"/>
    <n v="0.59835736216216218"/>
    <m/>
    <m/>
    <m/>
    <m/>
    <n v="0"/>
    <m/>
    <m/>
    <m/>
    <m/>
    <m/>
    <m/>
    <n v="0"/>
    <m/>
  </r>
  <r>
    <s v="Cœur de Village 45"/>
    <x v="4"/>
    <x v="2"/>
    <x v="9"/>
    <m/>
    <m/>
    <m/>
    <x v="5"/>
    <m/>
    <m/>
    <m/>
    <m/>
    <m/>
    <m/>
    <m/>
    <m/>
    <m/>
    <m/>
    <m/>
    <m/>
    <m/>
    <m/>
    <m/>
    <m/>
    <m/>
    <m/>
    <m/>
    <m/>
    <x v="2"/>
    <n v="45"/>
    <m/>
    <m/>
    <m/>
    <m/>
    <n v="45"/>
    <m/>
    <m/>
    <n v="0"/>
    <n v="0"/>
    <m/>
    <m/>
    <m/>
    <m/>
    <m/>
    <m/>
    <m/>
    <m/>
    <m/>
    <m/>
    <m/>
    <m/>
    <m/>
    <m/>
    <m/>
    <m/>
    <m/>
    <m/>
    <m/>
    <m/>
    <m/>
    <m/>
    <m/>
    <m/>
    <m/>
    <n v="0"/>
    <m/>
    <m/>
    <m/>
    <n v="0"/>
    <m/>
    <m/>
    <m/>
    <m/>
    <m/>
    <m/>
    <m/>
    <m/>
    <m/>
    <m/>
    <m/>
    <m/>
    <m/>
    <s v="0"/>
    <m/>
    <m/>
    <s v="0"/>
    <m/>
    <m/>
    <s v="0"/>
    <m/>
    <m/>
    <s v="0"/>
    <m/>
    <m/>
    <s v="0"/>
    <m/>
    <m/>
    <m/>
    <m/>
    <s v="0"/>
    <m/>
    <x v="35"/>
    <x v="7"/>
    <n v="1504.3333333333333"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d v="1901-12-31T00:00:00"/>
    <m/>
    <m/>
    <d v="1900-05-02T00:00:00"/>
    <m/>
    <d v="1900-01-30T00:00:00"/>
    <x v="23"/>
    <x v="8"/>
    <n v="0"/>
    <m/>
    <n v="0"/>
    <m/>
    <m/>
    <m/>
    <m/>
    <m/>
    <m/>
    <e v="#DIV/0!"/>
    <m/>
    <m/>
    <m/>
    <m/>
    <d v="1901-12-31T00:00:00"/>
    <m/>
    <m/>
    <m/>
    <m/>
    <m/>
    <m/>
    <d v="1900-12-31T00:00:00"/>
    <m/>
    <m/>
    <m/>
    <m/>
    <m/>
    <m/>
    <m/>
    <m/>
    <m/>
    <m/>
    <m/>
    <m/>
    <m/>
    <m/>
    <m/>
    <n v="0"/>
    <n v="0"/>
    <n v="0"/>
    <n v="0"/>
    <e v="#DIV/0!"/>
    <n v="0"/>
    <m/>
    <m/>
    <n v="0"/>
    <n v="0"/>
    <m/>
    <m/>
    <n v="0"/>
    <m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Harry PAYET (Les Mimosas)"/>
    <x v="2"/>
    <x v="2"/>
    <x v="4"/>
    <s v="PRLC 0114"/>
    <s v="FHO"/>
    <s v="MMA"/>
    <x v="0"/>
    <s v="dossier transmis"/>
    <m/>
    <m/>
    <m/>
    <m/>
    <m/>
    <n v="8821"/>
    <n v="530000"/>
    <n v="289110"/>
    <n v="13250"/>
    <n v="60.083890715338399"/>
    <n v="32.775195556059401"/>
    <n v="111.55441514093337"/>
    <n v="7227.75"/>
    <n v="220.52500000000001"/>
    <m/>
    <n v="45.346332615349731"/>
    <s v="UC"/>
    <m/>
    <m/>
    <x v="0"/>
    <n v="40"/>
    <n v="40"/>
    <m/>
    <n v="40"/>
    <m/>
    <m/>
    <n v="2569.23"/>
    <n v="2591.65"/>
    <n v="64.23075"/>
    <n v="64.791250000000005"/>
    <n v="5.4266388351373758"/>
    <n v="5.38"/>
    <n v="348.55708235999998"/>
    <n v="0.1"/>
    <n v="0.3"/>
    <n v="0.32500000000000001"/>
    <n v="0.22500000000000001"/>
    <n v="0.05"/>
    <n v="1150"/>
    <m/>
    <n v="0"/>
    <n v="2.5"/>
    <s v="collectif"/>
    <s v="non"/>
    <m/>
    <m/>
    <m/>
    <m/>
    <m/>
    <m/>
    <d v="2012-02-24T00:00:00"/>
    <m/>
    <d v="2012-03-30T00:00:00"/>
    <d v="2012-07-04T00:00:00"/>
    <m/>
    <n v="3.2"/>
    <m/>
    <m/>
    <d v="2012-12-19T00:00:00"/>
    <m/>
    <m/>
    <d v="2013-03-19T00:00:00"/>
    <m/>
    <d v="2013-04-01T00:00:00"/>
    <d v="2015-04-01T00:00:00"/>
    <n v="108407"/>
    <s v="oui"/>
    <n v="-1.8666666666666667"/>
    <s v="0"/>
    <n v="108407"/>
    <m/>
    <m/>
    <m/>
    <s v="0"/>
    <m/>
    <m/>
    <s v="0"/>
    <m/>
    <m/>
    <s v="0"/>
    <m/>
    <m/>
    <s v="0"/>
    <m/>
    <m/>
    <s v="0"/>
    <m/>
    <m/>
    <m/>
    <m/>
    <s v="0"/>
    <m/>
    <x v="11"/>
    <x v="4"/>
    <n v="7.166666666666667"/>
    <s v="0"/>
    <n v="15"/>
    <n v="26"/>
    <m/>
    <m/>
    <s v="0"/>
    <m/>
    <m/>
    <s v="0"/>
    <m/>
    <m/>
    <s v="0"/>
    <m/>
    <m/>
    <s v="0"/>
    <m/>
    <m/>
    <s v="0"/>
    <m/>
    <m/>
    <s v="0"/>
    <m/>
    <m/>
    <s v="0"/>
    <m/>
    <m/>
    <m/>
    <d v="2014-05-04T00:00:00"/>
    <d v="2015-04-17T00:00:00"/>
    <n v="11.6"/>
    <m/>
    <m/>
    <d v="2015-07-17T00:00:00"/>
    <s v="ok"/>
    <d v="2015-05-27T00:00:00"/>
    <m/>
    <d v="2014-06-04T00:00:00"/>
    <x v="34"/>
    <x v="5"/>
    <n v="11.9"/>
    <n v="14363.68880697325"/>
    <n v="170927.89680298168"/>
    <m/>
    <m/>
    <n v="51532.92"/>
    <m/>
    <m/>
    <m/>
    <n v="0"/>
    <m/>
    <s v="Lot VRD - SATP par Austral TP_x000a_Lot Cloisons - SPB par 3PPLUS_x000a_Lot Elec : DTS par EES_x000a_Soit 3 lots sur 14 = 21%_x000a_3 RO"/>
    <m/>
    <m/>
    <d v="1901-12-31T00:00:00"/>
    <s v="ok"/>
    <m/>
    <s v="ok"/>
    <s v="ok"/>
    <d v="2016-09-15T00:00:00"/>
    <d v="2017-04-06T00:00:00"/>
    <d v="2016-04-17T00:00:00"/>
    <n v="45341"/>
    <d v="2015-06-15T00:00:00"/>
    <s v="17/11/2015_x000a_27/01/16_x000a_15/03/16"/>
    <m/>
    <d v="2016-10-04T00:00:00"/>
    <m/>
    <d v="2015-03-16T00:00:00"/>
    <m/>
    <d v="2017-03-03T00:00:00"/>
    <m/>
    <m/>
    <m/>
    <d v="2017-08-31T00:00:00"/>
    <m/>
    <n v="5246631"/>
    <n v="5090210.4499999993"/>
    <n v="5090210.4499999993"/>
    <n v="5090210.4499999993"/>
    <n v="663000"/>
    <n v="1964.0809715818104"/>
    <n v="127255.26124999998"/>
    <n v="1480537"/>
    <m/>
    <n v="37013.425000000003"/>
    <n v="2895140.53"/>
    <n v="565518"/>
    <n v="2329622.5299999998"/>
    <n v="72378.513249999989"/>
    <n v="0"/>
    <n v="663000"/>
    <m/>
    <n v="0.13025001746244108"/>
    <m/>
    <m/>
    <n v="0"/>
    <n v="16575"/>
    <n v="53588.425000000003"/>
    <n v="1151902.8490725001"/>
    <n v="800000"/>
    <e v="#REF!"/>
    <n v="0"/>
    <n v="73588.425000000003"/>
    <n v="0.4949673218743304"/>
    <n v="295181.31"/>
    <m/>
    <n v="51532.92"/>
    <m/>
    <n v="0"/>
    <n v="5090210.4499999993"/>
    <n v="5090210.4499999993"/>
    <m/>
    <m/>
    <n v="663000"/>
    <n v="0"/>
    <m/>
    <m/>
    <m/>
    <m/>
    <n v="0"/>
    <m/>
    <m/>
    <m/>
    <m/>
    <m/>
    <m/>
    <n v="0"/>
    <m/>
  </r>
  <r>
    <s v="Z'ambaville (AX 18)"/>
    <x v="7"/>
    <x v="0"/>
    <x v="7"/>
    <s v="PRLC 0153"/>
    <m/>
    <s v="DBE"/>
    <x v="0"/>
    <s v="oui"/>
    <m/>
    <m/>
    <s v="SODEGIS"/>
    <s v="QUINOT"/>
    <d v="2013-05-13T00:00:00"/>
    <n v="1750"/>
    <n v="325000"/>
    <n v="85500"/>
    <n v="36111.111111111109"/>
    <n v="185.71428571428572"/>
    <n v="48.857142857142854"/>
    <n v="102.57640742629196"/>
    <n v="9500"/>
    <n v="194.44444444444446"/>
    <m/>
    <n v="51.428571428571431"/>
    <s v="UA"/>
    <n v="30"/>
    <m/>
    <x v="1"/>
    <n v="9"/>
    <n v="9"/>
    <n v="9"/>
    <m/>
    <m/>
    <m/>
    <n v="809.20999999999992"/>
    <n v="833.52499999999986"/>
    <n v="89.912222222222212"/>
    <n v="92.61388888888888"/>
    <n v="6.47"/>
    <n v="6.28"/>
    <n v="581.72"/>
    <n v="0"/>
    <n v="0"/>
    <n v="0"/>
    <n v="0.88888888888888884"/>
    <n v="0.1111111111111111"/>
    <m/>
    <n v="0"/>
    <n v="0"/>
    <n v="2"/>
    <s v="MDV"/>
    <s v="non"/>
    <m/>
    <m/>
    <m/>
    <m/>
    <d v="2013-11-13T00:00:00"/>
    <m/>
    <d v="2014-05-14T00:00:00"/>
    <m/>
    <d v="2014-03-30T00:00:00"/>
    <d v="2014-06-10T00:00:00"/>
    <m/>
    <n v="2.4"/>
    <m/>
    <d v="2015-02-19T00:00:00"/>
    <d v="2015-02-24T00:00:00"/>
    <n v="0.16666666666666666"/>
    <m/>
    <d v="2015-05-23T00:00:00"/>
    <d v="2015-03-11T00:00:00"/>
    <d v="2015-06-01T00:00:00"/>
    <d v="2017-06-01T00:00:00"/>
    <n v="40812"/>
    <s v="oui"/>
    <n v="-10.933333333333334"/>
    <s v="0"/>
    <n v="40812"/>
    <d v="2013-10-01T00:00:00"/>
    <d v="2013-10-02T00:00:00"/>
    <d v="2013-10-08T00:00:00"/>
    <n v="6"/>
    <d v="2014-02-06T00:00:00"/>
    <d v="2014-02-06T00:00:00"/>
    <n v="0"/>
    <d v="2014-02-14T00:00:00"/>
    <d v="2014-02-18T00:00:00"/>
    <n v="4"/>
    <d v="2014-05-14T00:00:00"/>
    <d v="2014-06-11T00:00:00"/>
    <n v="28"/>
    <d v="2014-11-03T00:00:00"/>
    <d v="2014-11-03T00:00:00"/>
    <n v="0"/>
    <m/>
    <d v="2015-05-22T00:00:00"/>
    <d v="2015-06-03T00:00:00"/>
    <d v="2016-05-10T00:00:00"/>
    <n v="342"/>
    <d v="2015-03-20T00:00:00"/>
    <x v="36"/>
    <x v="8"/>
    <n v="23.333333333333332"/>
    <n v="417"/>
    <n v="13"/>
    <n v="22"/>
    <d v="2016-07-01T00:00:00"/>
    <d v="2017-06-20T00:00:00"/>
    <n v="354"/>
    <d v="2016-09-02T00:00:00"/>
    <d v="2016-08-22T00:00:00"/>
    <n v="-11"/>
    <d v="2016-12-01T00:00:00"/>
    <d v="2017-06-20T00:00:00"/>
    <n v="201"/>
    <d v="2017-02-09T00:00:00"/>
    <d v="2017-10-27T00:00:00"/>
    <n v="260"/>
    <d v="2017-03-07T00:00:00"/>
    <d v="2017-09-01T00:00:00"/>
    <n v="178"/>
    <d v="2017-03-24T00:00:00"/>
    <d v="2017-10-09T00:00:00"/>
    <n v="199"/>
    <d v="2017-05-24T00:00:00"/>
    <d v="2018-02-18T00:00:00"/>
    <n v="270"/>
    <d v="2017-11-20T00:00:00"/>
    <s v="-"/>
    <d v="2017-11-30T00:00:00"/>
    <d v="2017-06-10T00:00:00"/>
    <d v="2018-03-12T00:00:00"/>
    <n v="9.1666666666666661"/>
    <n v="0"/>
    <m/>
    <d v="2018-04-16T00:00:00"/>
    <s v="ok"/>
    <d v="2018-04-15T00:00:00"/>
    <m/>
    <d v="2017-07-10T00:00:00"/>
    <x v="35"/>
    <x v="3"/>
    <n v="9.6333333333333329"/>
    <n v="6118.3236895452637"/>
    <n v="58939.85154261937"/>
    <d v="2018-03-08T00:00:00"/>
    <n v="0"/>
    <n v="24629"/>
    <n v="3439.7489999999998"/>
    <m/>
    <n v="27474.088999999996"/>
    <n v="1.4953602291201872E-2"/>
    <s v="SFE / AGA / FVA"/>
    <s v="Lot GO "/>
    <s v="bâche à poser pour sécurité incendie, avant inauguration_x000a_retard SBIM / AMEDEE"/>
    <s v="problématique juridique INTERINVEST qui a mis beaucoup de temps à se solutionner_x000a_retard SBIM / AMEDEE_x000a_convention MOD EDF très tardive_x000a_38 158 € de pénalités appliquées"/>
    <d v="2018-08-22T00:00:00"/>
    <m/>
    <d v="2018-06-08T00:00:00"/>
    <m/>
    <s v="ok"/>
    <d v="2018-08-07T00:00:00"/>
    <d v="2018-11-14T00:00:00"/>
    <d v="2019-03-12T00:00:00"/>
    <m/>
    <s v="ok"/>
    <d v="2018-06-11T00:00:00"/>
    <d v="2018-11-19T00:00:00"/>
    <m/>
    <m/>
    <m/>
    <m/>
    <m/>
    <m/>
    <d v="2018-05-03T00:00:00"/>
    <m/>
    <m/>
    <s v="ok"/>
    <n v="1544438"/>
    <n v="1837289"/>
    <n v="1837289"/>
    <n v="1837289"/>
    <n v="27159.56"/>
    <n v="2204.2398248402869"/>
    <n v="204143.22222222222"/>
    <n v="614225"/>
    <m/>
    <n v="68247.222222222219"/>
    <n v="1199946"/>
    <n v="270994"/>
    <n v="928952"/>
    <n v="133327.33333333334"/>
    <n v="0"/>
    <n v="1"/>
    <n v="27158.560000000001"/>
    <n v="5.4428018673164645E-7"/>
    <m/>
    <m/>
    <n v="0"/>
    <n v="0.1111111111111111"/>
    <n v="68247.333333333328"/>
    <n v="0"/>
    <n v="0"/>
    <e v="#REF!"/>
    <m/>
    <n v="68247.333333333328"/>
    <n v="0.33431104197543227"/>
    <m/>
    <m/>
    <n v="23117"/>
    <n v="1803727.2934400002"/>
    <n v="0.98173302808649054"/>
    <n v="33561.706559999846"/>
    <n v="33561.706559999846"/>
    <m/>
    <n v="30000"/>
    <n v="-2840.4399999999987"/>
    <n v="1.1045834321321848"/>
    <m/>
    <m/>
    <m/>
    <m/>
    <n v="0"/>
    <m/>
    <m/>
    <m/>
    <m/>
    <m/>
    <m/>
    <n v="0"/>
    <m/>
  </r>
  <r>
    <s v="Jean MOREL (Amaryllis)"/>
    <x v="2"/>
    <x v="2"/>
    <x v="5"/>
    <s v="PRLC 0109"/>
    <m/>
    <s v="MMA"/>
    <x v="0"/>
    <m/>
    <m/>
    <m/>
    <s v="Commune"/>
    <s v="LE GOFF"/>
    <m/>
    <n v="2250"/>
    <n v="102507"/>
    <n v="68451"/>
    <n v="11389.666666666666"/>
    <n v="45.558666666666667"/>
    <n v="30.422666666666668"/>
    <n v="97.255018967648425"/>
    <n v="7605.666666666667"/>
    <n v="250"/>
    <m/>
    <n v="40"/>
    <s v="UC"/>
    <m/>
    <m/>
    <x v="0"/>
    <n v="9"/>
    <n v="9"/>
    <m/>
    <n v="9"/>
    <m/>
    <m/>
    <n v="701.11"/>
    <n v="703.83"/>
    <n v="77.901111111111106"/>
    <n v="78.203333333333333"/>
    <n v="5.22"/>
    <n v="5.2"/>
    <n v="406.33"/>
    <n v="0"/>
    <n v="0"/>
    <n v="0.44444444444444442"/>
    <n v="0.44444444444444442"/>
    <n v="0.1111111111111111"/>
    <m/>
    <s v="x"/>
    <e v="#VALUE!"/>
    <n v="2"/>
    <s v="collectif"/>
    <s v="non"/>
    <m/>
    <m/>
    <m/>
    <m/>
    <m/>
    <m/>
    <d v="2012-02-24T00:00:00"/>
    <m/>
    <d v="2013-03-30T00:00:00"/>
    <d v="2013-07-31T00:00:00"/>
    <m/>
    <n v="4.0999999999999996"/>
    <m/>
    <d v="2013-10-02T00:00:00"/>
    <d v="2013-10-29T00:00:00"/>
    <n v="0.9"/>
    <m/>
    <d v="2014-01-29T00:00:00"/>
    <m/>
    <d v="2014-02-01T00:00:00"/>
    <d v="2016-02-01T00:00:00"/>
    <n v="25787"/>
    <s v="oui"/>
    <n v="-5.8666666666666663"/>
    <s v="0"/>
    <n v="25787"/>
    <m/>
    <m/>
    <m/>
    <s v="0"/>
    <m/>
    <m/>
    <s v="0"/>
    <m/>
    <m/>
    <s v="0"/>
    <m/>
    <m/>
    <s v="0"/>
    <m/>
    <m/>
    <s v="0"/>
    <m/>
    <m/>
    <m/>
    <m/>
    <s v="0"/>
    <m/>
    <x v="37"/>
    <x v="6"/>
    <n v="13.8"/>
    <s v="0"/>
    <n v="13"/>
    <n v="17"/>
    <m/>
    <m/>
    <s v="0"/>
    <m/>
    <m/>
    <s v="0"/>
    <m/>
    <m/>
    <s v="0"/>
    <m/>
    <m/>
    <s v="0"/>
    <m/>
    <m/>
    <s v="0"/>
    <m/>
    <m/>
    <s v="0"/>
    <m/>
    <m/>
    <s v="0"/>
    <m/>
    <m/>
    <m/>
    <d v="2015-10-18T00:00:00"/>
    <d v="2016-02-24T00:00:00"/>
    <n v="4.3"/>
    <m/>
    <m/>
    <d v="2016-07-15T00:00:00"/>
    <s v="ok"/>
    <d v="2016-07-26T00:00:00"/>
    <m/>
    <d v="2015-11-18T00:00:00"/>
    <x v="36"/>
    <x v="6"/>
    <n v="8.3666666666666671"/>
    <n v="3767.5464229397749"/>
    <n v="31521.805071929452"/>
    <m/>
    <m/>
    <n v="0"/>
    <m/>
    <m/>
    <n v="40210.961899999995"/>
    <n v="2.5876362659390653E-2"/>
    <m/>
    <s v="Lot Men Ext : APOI_x000a_Lot Metallerie : CSMD par M Metallerie_x000a_Lot Elec : Filea Elec par Mon ti caze Eclaire_x000a_Soit 3 lots sur 14 = 21%_x000a_5 RO"/>
    <m/>
    <m/>
    <d v="1901-12-31T00:00:00"/>
    <s v="ok"/>
    <d v="2016-09-07T00:00:00"/>
    <s v="ok"/>
    <s v="ok"/>
    <d v="2017-02-02T00:00:00"/>
    <d v="2017-05-04T00:00:00"/>
    <d v="2017-02-24T00:00:00"/>
    <n v="12615"/>
    <d v="2016-09-08T00:00:00"/>
    <d v="2016-11-14T00:00:00"/>
    <m/>
    <m/>
    <m/>
    <d v="2017-05-23T00:00:00"/>
    <m/>
    <s v="1e partie envoyée à OFOI le 08/02/17_x000a_dernière partie envoyée à OFOI le 14/06/2017"/>
    <s v="à déposer"/>
    <d v="2017-03-14T00:00:00"/>
    <s v="ok"/>
    <m/>
    <m/>
    <n v="1547410"/>
    <n v="1553965"/>
    <n v="1553965"/>
    <n v="1553965"/>
    <n v="225000"/>
    <n v="2207.8697981046557"/>
    <n v="172662.77777777778"/>
    <n v="426409"/>
    <m/>
    <n v="47378.777777777781"/>
    <n v="864010"/>
    <n v="176535"/>
    <n v="687475"/>
    <n v="96001.111111111109"/>
    <m/>
    <n v="225000"/>
    <m/>
    <n v="0.14479090584408272"/>
    <n v="38546"/>
    <m/>
    <n v="0"/>
    <n v="25000"/>
    <n v="72378.777777777781"/>
    <n v="270120.19565000001"/>
    <n v="180000"/>
    <e v="#REF!"/>
    <n v="0"/>
    <n v="92378.777777777781"/>
    <n v="0.47363006816549857"/>
    <n v="68687.774999999994"/>
    <m/>
    <m/>
    <m/>
    <n v="0"/>
    <n v="1553965"/>
    <n v="1553965"/>
    <m/>
    <m/>
    <n v="225000"/>
    <n v="0"/>
    <m/>
    <m/>
    <m/>
    <m/>
    <n v="0"/>
    <m/>
    <m/>
    <m/>
    <m/>
    <m/>
    <m/>
    <n v="0"/>
    <m/>
  </r>
  <r>
    <s v="Usine à Vetyver"/>
    <x v="4"/>
    <x v="2"/>
    <x v="9"/>
    <m/>
    <m/>
    <m/>
    <x v="5"/>
    <m/>
    <m/>
    <m/>
    <m/>
    <m/>
    <m/>
    <m/>
    <m/>
    <m/>
    <m/>
    <m/>
    <m/>
    <m/>
    <m/>
    <m/>
    <m/>
    <m/>
    <m/>
    <m/>
    <m/>
    <x v="2"/>
    <n v="44"/>
    <m/>
    <m/>
    <m/>
    <m/>
    <n v="44"/>
    <m/>
    <m/>
    <n v="0"/>
    <n v="0"/>
    <m/>
    <m/>
    <m/>
    <m/>
    <m/>
    <m/>
    <m/>
    <m/>
    <m/>
    <m/>
    <m/>
    <m/>
    <m/>
    <m/>
    <m/>
    <m/>
    <m/>
    <m/>
    <m/>
    <m/>
    <m/>
    <m/>
    <m/>
    <m/>
    <m/>
    <n v="0"/>
    <m/>
    <m/>
    <m/>
    <n v="0"/>
    <m/>
    <m/>
    <m/>
    <m/>
    <m/>
    <m/>
    <m/>
    <m/>
    <m/>
    <m/>
    <m/>
    <m/>
    <m/>
    <s v="0"/>
    <m/>
    <m/>
    <s v="0"/>
    <m/>
    <m/>
    <s v="0"/>
    <m/>
    <m/>
    <s v="0"/>
    <m/>
    <m/>
    <s v="0"/>
    <m/>
    <m/>
    <m/>
    <m/>
    <s v="0"/>
    <m/>
    <x v="38"/>
    <x v="7"/>
    <n v="1504.3666666666666"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d v="1901-12-31T00:00:00"/>
    <m/>
    <m/>
    <d v="1900-05-02T00:00:00"/>
    <m/>
    <d v="1900-01-30T00:00:00"/>
    <x v="23"/>
    <x v="8"/>
    <n v="0"/>
    <m/>
    <n v="0"/>
    <m/>
    <m/>
    <m/>
    <m/>
    <m/>
    <m/>
    <e v="#DIV/0!"/>
    <m/>
    <m/>
    <m/>
    <m/>
    <d v="1901-12-31T00:00:00"/>
    <m/>
    <m/>
    <m/>
    <m/>
    <m/>
    <m/>
    <d v="1900-12-31T00:00:00"/>
    <m/>
    <m/>
    <m/>
    <m/>
    <m/>
    <m/>
    <m/>
    <m/>
    <m/>
    <m/>
    <m/>
    <m/>
    <m/>
    <m/>
    <m/>
    <n v="0"/>
    <n v="0"/>
    <n v="0"/>
    <n v="0"/>
    <e v="#DIV/0!"/>
    <n v="0"/>
    <m/>
    <m/>
    <n v="0"/>
    <n v="0"/>
    <m/>
    <m/>
    <n v="0"/>
    <m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m/>
  </r>
  <r>
    <s v="Josepha Fontaine"/>
    <x v="4"/>
    <x v="2"/>
    <x v="5"/>
    <s v="PRLC 0122"/>
    <s v="FHO"/>
    <s v="DAM"/>
    <x v="0"/>
    <m/>
    <m/>
    <m/>
    <s v="EPFR / RUET"/>
    <s v="BARET"/>
    <m/>
    <n v="4550"/>
    <n v="298500"/>
    <n v="122015"/>
    <n v="19900"/>
    <n v="65.604395604395606"/>
    <n v="26.816483516483515"/>
    <n v="103.36575117331121"/>
    <n v="8134.333333333333"/>
    <n v="303.33333333333331"/>
    <m/>
    <n v="32.967032967032964"/>
    <s v="UD"/>
    <n v="600"/>
    <m/>
    <x v="0"/>
    <n v="15"/>
    <n v="15"/>
    <m/>
    <n v="15"/>
    <m/>
    <m/>
    <n v="1162.8599999999999"/>
    <n v="1180.4199999999998"/>
    <n v="77.523999999999987"/>
    <n v="78.694666666666663"/>
    <n v="5.27"/>
    <n v="5.19"/>
    <n v="408.17"/>
    <m/>
    <n v="0.2"/>
    <n v="0.4"/>
    <n v="0.33333333333333331"/>
    <n v="6.6666666666666666E-2"/>
    <m/>
    <m/>
    <n v="0"/>
    <n v="1.5"/>
    <s v="MDV"/>
    <s v="non"/>
    <m/>
    <m/>
    <m/>
    <m/>
    <m/>
    <m/>
    <d v="2012-02-24T00:00:00"/>
    <m/>
    <d v="2013-03-30T00:00:00"/>
    <d v="2013-11-18T00:00:00"/>
    <m/>
    <n v="7.7666666666666666"/>
    <m/>
    <d v="2013-10-03T00:00:00"/>
    <d v="2013-10-29T00:00:00"/>
    <n v="0.8666666666666667"/>
    <m/>
    <d v="2014-01-03T00:00:00"/>
    <s v="ok"/>
    <d v="2014-02-01T00:00:00"/>
    <d v="2016-02-01T00:00:00"/>
    <m/>
    <s v="oui"/>
    <n v="-13.766666666666667"/>
    <s v="0"/>
    <n v="0"/>
    <m/>
    <m/>
    <m/>
    <s v="0"/>
    <m/>
    <m/>
    <s v="0"/>
    <m/>
    <m/>
    <s v="0"/>
    <m/>
    <m/>
    <s v="0"/>
    <m/>
    <m/>
    <s v="0"/>
    <m/>
    <m/>
    <m/>
    <m/>
    <s v="0"/>
    <m/>
    <x v="39"/>
    <x v="5"/>
    <n v="24.833333333333332"/>
    <s v="0"/>
    <n v="13"/>
    <n v="15"/>
    <m/>
    <m/>
    <s v="0"/>
    <m/>
    <m/>
    <s v="0"/>
    <m/>
    <m/>
    <s v="0"/>
    <m/>
    <m/>
    <s v="0"/>
    <m/>
    <m/>
    <s v="0"/>
    <m/>
    <m/>
    <s v="0"/>
    <m/>
    <m/>
    <s v="0"/>
    <m/>
    <m/>
    <m/>
    <d v="2017-01-03T00:00:00"/>
    <d v="2017-03-20T00:00:00"/>
    <n v="2.5333333333333332"/>
    <m/>
    <m/>
    <d v="2017-05-10T00:00:00"/>
    <s v="20/10/2016 y/c certif adressage + plans"/>
    <d v="2017-03-10T00:00:00"/>
    <m/>
    <d v="2017-02-03T00:00:00"/>
    <x v="37"/>
    <x v="4"/>
    <n v="1.5"/>
    <n v="4738.044454527967"/>
    <n v="7107.06668179195"/>
    <s v="ok"/>
    <m/>
    <n v="0"/>
    <m/>
    <m/>
    <n v="0"/>
    <n v="0"/>
    <m/>
    <s v="Lot 4 Menuiserie - PVC 400 par Sofaal_x000a_Lot Metallerie : Technipose par Pumalu_x000a_soit 2 lots sur 16 = 12%_x000a_3 RO"/>
    <m/>
    <m/>
    <d v="1901-12-31T00:00:00"/>
    <s v="ok"/>
    <s v="ok"/>
    <m/>
    <m/>
    <d v="2017-10-30T00:00:00"/>
    <d v="2018-05-03T00:00:00"/>
    <d v="2018-03-20T00:00:00"/>
    <n v="13223"/>
    <d v="2017-08-30T00:00:00"/>
    <m/>
    <m/>
    <m/>
    <d v="2018-01-25T00:00:00"/>
    <d v="2018-03-21T00:00:00"/>
    <m/>
    <s v="envoyé arrangeur 17/07/18"/>
    <s v="à déposer"/>
    <s v="ok"/>
    <m/>
    <s v="ok"/>
    <m/>
    <n v="2369120"/>
    <n v="2951882"/>
    <n v="2951882"/>
    <n v="2951882"/>
    <n v="393831"/>
    <n v="2500.7048338726895"/>
    <n v="196792.13333333333"/>
    <n v="835967"/>
    <m/>
    <n v="55731.133333333331"/>
    <n v="1314229"/>
    <n v="212380"/>
    <n v="1101849"/>
    <n v="87615.266666666663"/>
    <n v="407855"/>
    <n v="393831"/>
    <m/>
    <n v="0.1334169184269561"/>
    <m/>
    <m/>
    <n v="0"/>
    <n v="26255.4"/>
    <n v="81986.53333333334"/>
    <n v="753806.75427749997"/>
    <n v="300000"/>
    <e v="#REF!"/>
    <n v="162750"/>
    <n v="112836.53333333334"/>
    <n v="0.4726319970267101"/>
    <n v="124577"/>
    <m/>
    <n v="0"/>
    <m/>
    <n v="0"/>
    <n v="2951882"/>
    <n v="2951882"/>
    <m/>
    <m/>
    <n v="393831"/>
    <n v="0"/>
    <m/>
    <m/>
    <m/>
    <m/>
    <n v="0"/>
    <m/>
    <m/>
    <m/>
    <m/>
    <m/>
    <m/>
    <n v="0"/>
    <m/>
  </r>
  <r>
    <s v="Les Quais"/>
    <x v="4"/>
    <x v="2"/>
    <x v="9"/>
    <m/>
    <m/>
    <m/>
    <x v="5"/>
    <m/>
    <m/>
    <m/>
    <m/>
    <m/>
    <m/>
    <m/>
    <m/>
    <m/>
    <m/>
    <m/>
    <m/>
    <m/>
    <m/>
    <m/>
    <m/>
    <m/>
    <m/>
    <m/>
    <m/>
    <x v="2"/>
    <n v="29"/>
    <m/>
    <m/>
    <m/>
    <m/>
    <n v="29"/>
    <m/>
    <m/>
    <n v="0"/>
    <n v="0"/>
    <m/>
    <m/>
    <m/>
    <m/>
    <m/>
    <m/>
    <m/>
    <m/>
    <m/>
    <m/>
    <m/>
    <m/>
    <m/>
    <m/>
    <m/>
    <m/>
    <m/>
    <m/>
    <m/>
    <m/>
    <m/>
    <m/>
    <m/>
    <m/>
    <m/>
    <n v="0"/>
    <m/>
    <m/>
    <m/>
    <n v="0"/>
    <m/>
    <m/>
    <m/>
    <m/>
    <m/>
    <m/>
    <m/>
    <m/>
    <m/>
    <m/>
    <m/>
    <m/>
    <m/>
    <s v="0"/>
    <m/>
    <m/>
    <s v="0"/>
    <m/>
    <m/>
    <s v="0"/>
    <m/>
    <m/>
    <s v="0"/>
    <m/>
    <m/>
    <s v="0"/>
    <m/>
    <m/>
    <m/>
    <m/>
    <s v="0"/>
    <m/>
    <x v="40"/>
    <x v="7"/>
    <n v="1504.4"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d v="1901-12-31T00:00:00"/>
    <m/>
    <m/>
    <d v="1900-05-02T00:00:00"/>
    <m/>
    <d v="1900-01-30T00:00:00"/>
    <x v="23"/>
    <x v="8"/>
    <n v="0"/>
    <m/>
    <n v="0"/>
    <m/>
    <m/>
    <m/>
    <m/>
    <m/>
    <m/>
    <e v="#DIV/0!"/>
    <m/>
    <m/>
    <m/>
    <m/>
    <d v="1901-12-31T00:00:00"/>
    <m/>
    <m/>
    <m/>
    <m/>
    <m/>
    <m/>
    <d v="1900-12-31T00:00:00"/>
    <m/>
    <m/>
    <m/>
    <m/>
    <m/>
    <m/>
    <m/>
    <m/>
    <m/>
    <m/>
    <m/>
    <m/>
    <m/>
    <m/>
    <m/>
    <n v="0"/>
    <n v="0"/>
    <n v="0"/>
    <n v="0"/>
    <e v="#DIV/0!"/>
    <n v="0"/>
    <m/>
    <m/>
    <n v="0"/>
    <n v="0"/>
    <m/>
    <m/>
    <n v="0"/>
    <m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m/>
  </r>
  <r>
    <s v="Nid Joli"/>
    <x v="2"/>
    <x v="2"/>
    <x v="9"/>
    <m/>
    <m/>
    <m/>
    <x v="5"/>
    <m/>
    <m/>
    <m/>
    <m/>
    <m/>
    <m/>
    <m/>
    <m/>
    <m/>
    <m/>
    <m/>
    <m/>
    <m/>
    <m/>
    <m/>
    <m/>
    <m/>
    <m/>
    <m/>
    <m/>
    <x v="2"/>
    <n v="22"/>
    <m/>
    <m/>
    <m/>
    <m/>
    <n v="22"/>
    <m/>
    <m/>
    <n v="0"/>
    <n v="0"/>
    <m/>
    <m/>
    <m/>
    <m/>
    <m/>
    <m/>
    <m/>
    <m/>
    <m/>
    <m/>
    <m/>
    <m/>
    <m/>
    <m/>
    <m/>
    <m/>
    <m/>
    <m/>
    <m/>
    <m/>
    <m/>
    <m/>
    <m/>
    <m/>
    <m/>
    <n v="0"/>
    <m/>
    <m/>
    <m/>
    <n v="0"/>
    <m/>
    <m/>
    <m/>
    <m/>
    <m/>
    <m/>
    <m/>
    <m/>
    <m/>
    <m/>
    <m/>
    <m/>
    <m/>
    <s v="0"/>
    <m/>
    <m/>
    <s v="0"/>
    <m/>
    <m/>
    <s v="0"/>
    <m/>
    <m/>
    <s v="0"/>
    <m/>
    <m/>
    <s v="0"/>
    <m/>
    <m/>
    <m/>
    <m/>
    <s v="0"/>
    <m/>
    <x v="41"/>
    <x v="7"/>
    <n v="1504.4333333333334"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d v="1901-12-31T00:00:00"/>
    <m/>
    <m/>
    <d v="1900-05-02T00:00:00"/>
    <m/>
    <d v="1900-01-30T00:00:00"/>
    <x v="23"/>
    <x v="8"/>
    <n v="0"/>
    <m/>
    <n v="0"/>
    <m/>
    <m/>
    <m/>
    <m/>
    <m/>
    <m/>
    <e v="#DIV/0!"/>
    <m/>
    <m/>
    <m/>
    <m/>
    <d v="1901-12-31T00:00:00"/>
    <m/>
    <m/>
    <m/>
    <m/>
    <m/>
    <m/>
    <d v="1900-12-31T00:00:00"/>
    <m/>
    <m/>
    <m/>
    <m/>
    <m/>
    <m/>
    <m/>
    <m/>
    <m/>
    <m/>
    <m/>
    <m/>
    <m/>
    <m/>
    <m/>
    <n v="0"/>
    <n v="0"/>
    <n v="0"/>
    <n v="0"/>
    <e v="#DIV/0!"/>
    <n v="0"/>
    <m/>
    <m/>
    <n v="0"/>
    <n v="0"/>
    <m/>
    <m/>
    <n v="0"/>
    <m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m/>
  </r>
  <r>
    <s v="VEFA EQUILIBRE"/>
    <x v="4"/>
    <x v="2"/>
    <x v="2"/>
    <m/>
    <s v="YFR"/>
    <s v="DBA"/>
    <x v="6"/>
    <m/>
    <s v="CI 192"/>
    <m/>
    <m/>
    <m/>
    <m/>
    <n v="10895"/>
    <n v="949780"/>
    <n v="949780"/>
    <n v="25669.72972972973"/>
    <n v="87.175768701239107"/>
    <n v="87.175768701239107"/>
    <n v="296.99372729035201"/>
    <n v="25669.72972972973"/>
    <n v="294.45945945945948"/>
    <m/>
    <n v="33.960532354290962"/>
    <m/>
    <n v="650"/>
    <m/>
    <x v="0"/>
    <n v="37"/>
    <n v="37"/>
    <m/>
    <n v="37"/>
    <m/>
    <m/>
    <n v="3032.98"/>
    <n v="3197.98"/>
    <n v="81.972432432432427"/>
    <n v="86.431891891891894"/>
    <m/>
    <m/>
    <m/>
    <m/>
    <m/>
    <m/>
    <m/>
    <m/>
    <m/>
    <m/>
    <m/>
    <m/>
    <s v="MDV"/>
    <s v="oui"/>
    <n v="6377000"/>
    <n v="2102.5526050287176"/>
    <n v="1994.0712574812851"/>
    <n v="172351.35135135136"/>
    <d v="2017-01-26T00:00:00"/>
    <m/>
    <d v="2017-01-26T00:00:00"/>
    <m/>
    <d v="2017-03-30T00:00:00"/>
    <d v="2017-09-20T00:00:00"/>
    <m/>
    <n v="5.8"/>
    <s v="x"/>
    <m/>
    <m/>
    <n v="0"/>
    <m/>
    <d v="1900-03-31T00:00:00"/>
    <m/>
    <m/>
    <d v="1901-12-31T00:00:00"/>
    <m/>
    <s v="non"/>
    <n v="23.333333333333332"/>
    <n v="0"/>
    <n v="0"/>
    <m/>
    <m/>
    <m/>
    <s v="0"/>
    <m/>
    <m/>
    <s v="0"/>
    <m/>
    <m/>
    <s v="0"/>
    <m/>
    <m/>
    <s v="0"/>
    <m/>
    <d v="2020-04-29T00:00:00"/>
    <s v="0"/>
    <m/>
    <m/>
    <m/>
    <d v="2020-04-29T00:00:00"/>
    <s v="0"/>
    <m/>
    <x v="42"/>
    <x v="7"/>
    <m/>
    <s v="0"/>
    <n v="18"/>
    <n v="0"/>
    <m/>
    <d v="2020-04-29T00:00:00"/>
    <s v="0"/>
    <m/>
    <d v="2020-04-29T00:00:00"/>
    <s v="0"/>
    <m/>
    <d v="2020-04-29T00:00:00"/>
    <s v="0"/>
    <d v="2019-01-28T00:00:00"/>
    <d v="2020-04-29T00:00:00"/>
    <n v="457"/>
    <m/>
    <m/>
    <s v="0"/>
    <m/>
    <d v="2020-04-29T00:00:00"/>
    <s v="0"/>
    <d v="2019-04-15T00:00:00"/>
    <d v="2020-04-29T00:00:00"/>
    <n v="380"/>
    <m/>
    <m/>
    <m/>
    <m/>
    <m/>
    <n v="0"/>
    <m/>
    <d v="2022-04-29T00:00:00"/>
    <m/>
    <m/>
    <d v="1900-05-02T00:00:00"/>
    <m/>
    <m/>
    <x v="23"/>
    <x v="8"/>
    <n v="1.0333333333333334"/>
    <m/>
    <n v="0"/>
    <m/>
    <n v="0"/>
    <n v="0"/>
    <m/>
    <m/>
    <m/>
    <n v="0"/>
    <m/>
    <m/>
    <s v="courrier de MAP financière / technique faite au promoteur"/>
    <s v="opération annulée : plus de promoteur"/>
    <d v="2022-04-29T00:00:00"/>
    <m/>
    <m/>
    <m/>
    <m/>
    <m/>
    <m/>
    <d v="1900-12-31T00:00:00"/>
    <m/>
    <m/>
    <m/>
    <m/>
    <m/>
    <m/>
    <m/>
    <m/>
    <m/>
    <m/>
    <m/>
    <m/>
    <m/>
    <m/>
    <m/>
    <n v="6863538.2000000002"/>
    <n v="6863538.2000000002"/>
    <n v="6863538.2000000002"/>
    <n v="660000"/>
    <n v="2146.21048286731"/>
    <n v="185501.03243243243"/>
    <n v="2271739"/>
    <m/>
    <n v="61398.351351351354"/>
    <n v="3931799.2"/>
    <n v="1087640.28"/>
    <n v="2844158.92"/>
    <n v="106264.84324324325"/>
    <m/>
    <n v="660000"/>
    <m/>
    <n v="9.6160315680912212E-2"/>
    <m/>
    <m/>
    <m/>
    <n v="17837.837837837837"/>
    <n v="79236.189189189186"/>
    <m/>
    <m/>
    <e v="#REF!"/>
    <m/>
    <n v="79236.189189189186"/>
    <e v="#REF!"/>
    <m/>
    <m/>
    <n v="0"/>
    <m/>
    <n v="0"/>
    <n v="6863538.2000000002"/>
    <n v="6863538.2000000002"/>
    <m/>
    <n v="0"/>
    <n v="660000"/>
    <n v="0"/>
    <m/>
    <m/>
    <m/>
    <m/>
    <n v="0"/>
    <m/>
    <m/>
    <m/>
    <m/>
    <m/>
    <m/>
    <n v="0"/>
    <m/>
  </r>
  <r>
    <s v="VEFA MAZEAU ROUSSEL T1 LLTS"/>
    <x v="2"/>
    <x v="2"/>
    <x v="12"/>
    <s v="PRLC 0217"/>
    <m/>
    <m/>
    <x v="7"/>
    <m/>
    <m/>
    <m/>
    <m/>
    <m/>
    <m/>
    <m/>
    <m/>
    <m/>
    <n v="0"/>
    <e v="#DIV/0!"/>
    <e v="#DIV/0!"/>
    <n v="0"/>
    <n v="0"/>
    <n v="0"/>
    <m/>
    <e v="#DIV/0!"/>
    <m/>
    <m/>
    <n v="0.1"/>
    <x v="0"/>
    <n v="79"/>
    <n v="79"/>
    <m/>
    <n v="79"/>
    <m/>
    <m/>
    <n v="3778.72"/>
    <n v="4378.38"/>
    <n v="47.831898734177216"/>
    <n v="55.42253164556962"/>
    <m/>
    <m/>
    <m/>
    <m/>
    <m/>
    <m/>
    <m/>
    <m/>
    <m/>
    <m/>
    <m/>
    <m/>
    <m/>
    <m/>
    <n v="8805819"/>
    <n v="2330.370866325105"/>
    <n v="2011.2048291833964"/>
    <n v="111466.06329113925"/>
    <m/>
    <m/>
    <d v="2019-12-17T00:00:00"/>
    <m/>
    <m/>
    <m/>
    <m/>
    <n v="0"/>
    <s v="x"/>
    <m/>
    <m/>
    <n v="0"/>
    <m/>
    <m/>
    <m/>
    <m/>
    <d v="1901-12-31T00:00:00"/>
    <m/>
    <s v="non"/>
    <n v="4.0999999999999996"/>
    <n v="0"/>
    <n v="0"/>
    <m/>
    <m/>
    <m/>
    <m/>
    <m/>
    <m/>
    <m/>
    <m/>
    <m/>
    <m/>
    <m/>
    <m/>
    <m/>
    <m/>
    <m/>
    <s v="0"/>
    <m/>
    <m/>
    <m/>
    <m/>
    <s v="0"/>
    <m/>
    <x v="42"/>
    <x v="7"/>
    <n v="0"/>
    <s v="0"/>
    <n v="16"/>
    <n v="18"/>
    <m/>
    <m/>
    <m/>
    <m/>
    <d v="2020-04-29T00:00:00"/>
    <s v="0"/>
    <m/>
    <d v="2020-04-29T00:00:00"/>
    <s v="0"/>
    <d v="2019-03-08T00:00:00"/>
    <d v="2020-04-29T00:00:00"/>
    <n v="418"/>
    <m/>
    <m/>
    <s v="0"/>
    <m/>
    <d v="2020-04-29T00:00:00"/>
    <s v="0"/>
    <m/>
    <d v="2020-04-29T00:00:00"/>
    <s v="0"/>
    <m/>
    <m/>
    <m/>
    <d v="1901-04-30T00:00:00"/>
    <d v="1901-07-30T00:00:00"/>
    <n v="3.0333333333333332"/>
    <n v="0"/>
    <d v="2022-04-29T00:00:00"/>
    <m/>
    <m/>
    <d v="1901-12-02T00:00:00"/>
    <m/>
    <m/>
    <x v="38"/>
    <x v="8"/>
    <n v="20.266666666666666"/>
    <m/>
    <n v="0"/>
    <m/>
    <m/>
    <m/>
    <m/>
    <m/>
    <m/>
    <n v="0"/>
    <m/>
    <m/>
    <m/>
    <m/>
    <m/>
    <m/>
    <m/>
    <m/>
    <m/>
    <m/>
    <m/>
    <d v="1902-07-30T00:00:00"/>
    <m/>
    <m/>
    <m/>
    <m/>
    <m/>
    <m/>
    <m/>
    <m/>
    <m/>
    <m/>
    <m/>
    <m/>
    <m/>
    <m/>
    <m/>
    <n v="9211405.25"/>
    <n v="9211405.25"/>
    <n v="9211405.25"/>
    <n v="2325000"/>
    <n v="2103.8386914794969"/>
    <n v="116600.0664556962"/>
    <n v="2427624.67"/>
    <m/>
    <n v="30729.426202531646"/>
    <n v="4458780.58"/>
    <n v="732156.24"/>
    <n v="3726624.34"/>
    <n v="56440.260506329112"/>
    <m/>
    <n v="2325000"/>
    <m/>
    <n v="0.25240448518970543"/>
    <m/>
    <m/>
    <m/>
    <n v="29430.379746835442"/>
    <n v="60159.805949367088"/>
    <m/>
    <m/>
    <n v="60159.805949367088"/>
    <m/>
    <n v="60159.805949367088"/>
    <n v="0.51595001424999731"/>
    <m/>
    <m/>
    <m/>
    <m/>
    <n v="0"/>
    <n v="9211405.25"/>
    <n v="100000"/>
    <n v="1.0856106889879804E-2"/>
    <m/>
    <n v="2325000"/>
    <n v="0"/>
    <m/>
    <m/>
    <m/>
    <m/>
    <m/>
    <m/>
    <m/>
    <m/>
    <m/>
    <m/>
    <m/>
    <n v="0"/>
    <m/>
  </r>
  <r>
    <s v="CANNELLE "/>
    <x v="7"/>
    <x v="0"/>
    <x v="8"/>
    <s v="PRLC 0200"/>
    <m/>
    <s v="DBA"/>
    <x v="6"/>
    <s v="stand by"/>
    <s v="AT 222/223/224"/>
    <s v="AT 222/223/224_x000a_compromis AT 222 signé - PD obtenu / bornage 05/10/17_x000a_en attente du topo / bornage_x000a_empiètement sur AT 224_x000a_"/>
    <m/>
    <m/>
    <m/>
    <n v="3040"/>
    <n v="205275"/>
    <n v="205275"/>
    <n v="6842.5"/>
    <n v="67.524671052631575"/>
    <n v="67.524671052631575"/>
    <n v="91.631011925088217"/>
    <n v="6842.5"/>
    <n v="101.33333333333333"/>
    <m/>
    <n v="98.684210526315795"/>
    <s v="UB"/>
    <m/>
    <m/>
    <x v="0"/>
    <n v="30"/>
    <n v="30"/>
    <m/>
    <n v="30"/>
    <m/>
    <m/>
    <n v="1932.4899999999998"/>
    <n v="2240.2350000000001"/>
    <n v="64.416333333333327"/>
    <n v="74.674500000000009"/>
    <n v="6.27"/>
    <n v="5.41"/>
    <n v="403.92"/>
    <n v="0.16666666666666666"/>
    <n v="0.26666666666666666"/>
    <n v="0.36666666666666664"/>
    <n v="0.16666666666666666"/>
    <n v="3.3333333333333333E-2"/>
    <m/>
    <m/>
    <m/>
    <m/>
    <s v="collectif"/>
    <s v="oui"/>
    <m/>
    <m/>
    <m/>
    <m/>
    <m/>
    <m/>
    <d v="2018-07-27T00:00:00"/>
    <s v="27/07/2018_x000a_60 ans - manque PHB"/>
    <d v="2018-03-30T00:00:00"/>
    <d v="2018-07-06T00:00:00"/>
    <m/>
    <n v="3.2666666666666666"/>
    <s v="x"/>
    <m/>
    <m/>
    <n v="0"/>
    <m/>
    <d v="1900-03-31T00:00:00"/>
    <m/>
    <m/>
    <d v="1901-12-31T00:00:00"/>
    <m/>
    <s v="oui"/>
    <n v="-6.6666666666666666E-2"/>
    <s v="0"/>
    <n v="0"/>
    <m/>
    <m/>
    <m/>
    <s v="0"/>
    <m/>
    <m/>
    <s v="0"/>
    <m/>
    <m/>
    <s v="0"/>
    <m/>
    <m/>
    <s v="0"/>
    <m/>
    <m/>
    <s v="0"/>
    <m/>
    <m/>
    <m/>
    <m/>
    <s v="0"/>
    <m/>
    <x v="42"/>
    <x v="7"/>
    <m/>
    <s v="0"/>
    <n v="16"/>
    <n v="18"/>
    <m/>
    <d v="2020-04-29T00:00:00"/>
    <s v="0"/>
    <m/>
    <d v="2020-04-29T00:00:00"/>
    <s v="0"/>
    <m/>
    <d v="2020-04-29T00:00:00"/>
    <s v="0"/>
    <d v="2019-02-19T00:00:00"/>
    <d v="2020-04-29T00:00:00"/>
    <n v="435"/>
    <m/>
    <m/>
    <s v="0"/>
    <m/>
    <d v="2020-04-29T00:00:00"/>
    <s v="0"/>
    <d v="2019-05-07T00:00:00"/>
    <d v="2020-04-29T00:00:00"/>
    <n v="358"/>
    <m/>
    <m/>
    <m/>
    <d v="1901-04-30T00:00:00"/>
    <d v="1901-07-30T00:00:00"/>
    <n v="3.0333333333333332"/>
    <n v="0"/>
    <d v="2022-04-29T00:00:00"/>
    <m/>
    <m/>
    <d v="1901-12-02T00:00:00"/>
    <m/>
    <d v="1901-05-30T00:00:00"/>
    <x v="39"/>
    <x v="8"/>
    <n v="7.2333333333333334"/>
    <n v="12283"/>
    <n v="88847.03333333334"/>
    <m/>
    <n v="0"/>
    <n v="0"/>
    <m/>
    <m/>
    <m/>
    <n v="0"/>
    <m/>
    <m/>
    <s v="APS à analyser / PC à déposer 10/02/18 au plus tard"/>
    <s v="stand by RHI"/>
    <d v="2022-04-29T00:00:00"/>
    <m/>
    <m/>
    <m/>
    <m/>
    <m/>
    <m/>
    <d v="1902-07-30T00:00:00"/>
    <m/>
    <m/>
    <m/>
    <m/>
    <m/>
    <m/>
    <m/>
    <m/>
    <m/>
    <m/>
    <m/>
    <m/>
    <m/>
    <m/>
    <m/>
    <n v="4970505"/>
    <n v="4970505"/>
    <n v="4970505"/>
    <n v="783150"/>
    <n v="2218.7426765495584"/>
    <n v="165683.5"/>
    <n v="1494928"/>
    <m/>
    <n v="49830.933333333334"/>
    <n v="2692427"/>
    <n v="427747"/>
    <n v="2264680"/>
    <n v="89747.566666666666"/>
    <m/>
    <n v="780000"/>
    <m/>
    <n v="0.15692570473221534"/>
    <m/>
    <m/>
    <n v="3150"/>
    <n v="26000"/>
    <n v="75830.933333333334"/>
    <m/>
    <m/>
    <e v="#REF!"/>
    <m/>
    <n v="75830.933333333334"/>
    <e v="#REF!"/>
    <m/>
    <m/>
    <n v="0"/>
    <m/>
    <n v="0"/>
    <n v="4970505"/>
    <n v="4970505"/>
    <m/>
    <n v="677762.17999999993"/>
    <m/>
    <m/>
    <m/>
    <m/>
    <m/>
    <m/>
    <n v="0"/>
    <m/>
    <m/>
    <m/>
    <m/>
    <m/>
    <m/>
    <n v="0"/>
    <m/>
  </r>
  <r>
    <s v="PAPYRUS "/>
    <x v="7"/>
    <x v="0"/>
    <x v="8"/>
    <s v="PRLC 0199"/>
    <s v="BBL"/>
    <m/>
    <x v="6"/>
    <s v="stand by"/>
    <m/>
    <s v="AX 24p / 25 / 429p / 28 / 27p_x000a_actualisation topo en cours_x000a_zone RHI_x000a_"/>
    <m/>
    <m/>
    <m/>
    <n v="2641"/>
    <n v="313500"/>
    <n v="313500"/>
    <e v="#DIV/0!"/>
    <n v="118.70503597122303"/>
    <n v="118.70503597122303"/>
    <n v="120.78178757045603"/>
    <n v="9500"/>
    <n v="80.030303030303031"/>
    <m/>
    <n v="124.95266944339265"/>
    <s v="UA"/>
    <m/>
    <m/>
    <x v="1"/>
    <n v="33"/>
    <n v="33"/>
    <n v="33"/>
    <m/>
    <m/>
    <m/>
    <n v="2317.79"/>
    <n v="2595.59"/>
    <n v="70.236060606060605"/>
    <n v="78.654242424242426"/>
    <n v="7.45"/>
    <n v="6.66"/>
    <n v="523.54"/>
    <n v="0.21212121212121213"/>
    <n v="9.0909090909090912E-2"/>
    <n v="0.36363636363636365"/>
    <n v="0.30303030303030304"/>
    <n v="3.0303030303030304E-2"/>
    <m/>
    <m/>
    <m/>
    <m/>
    <s v="collectif"/>
    <s v="oui"/>
    <m/>
    <m/>
    <m/>
    <m/>
    <m/>
    <m/>
    <d v="2018-07-27T00:00:00"/>
    <s v="27/07/2018_x000a_60 ans - manque PHB"/>
    <d v="2018-03-30T00:00:00"/>
    <d v="2018-08-22T00:00:00"/>
    <m/>
    <n v="4.833333333333333"/>
    <s v="x"/>
    <m/>
    <m/>
    <m/>
    <m/>
    <d v="1900-03-31T00:00:00"/>
    <m/>
    <m/>
    <d v="1901-12-31T00:00:00"/>
    <m/>
    <s v="oui"/>
    <n v="-6.6666666666666666E-2"/>
    <s v="0"/>
    <n v="0"/>
    <m/>
    <m/>
    <m/>
    <s v="0"/>
    <m/>
    <m/>
    <s v="0"/>
    <m/>
    <m/>
    <s v="0"/>
    <m/>
    <m/>
    <s v="0"/>
    <m/>
    <m/>
    <s v="0"/>
    <m/>
    <m/>
    <m/>
    <m/>
    <s v="0"/>
    <m/>
    <x v="42"/>
    <x v="7"/>
    <m/>
    <s v="0"/>
    <n v="16"/>
    <n v="18"/>
    <m/>
    <d v="2020-04-29T00:00:00"/>
    <s v="0"/>
    <m/>
    <d v="2020-04-29T00:00:00"/>
    <s v="0"/>
    <m/>
    <d v="2020-04-29T00:00:00"/>
    <s v="0"/>
    <d v="2019-02-20T00:00:00"/>
    <d v="2020-04-29T00:00:00"/>
    <n v="434"/>
    <m/>
    <m/>
    <s v="0"/>
    <m/>
    <d v="2020-04-29T00:00:00"/>
    <s v="0"/>
    <d v="2019-05-08T00:00:00"/>
    <d v="2020-04-29T00:00:00"/>
    <n v="357"/>
    <m/>
    <m/>
    <m/>
    <d v="1901-04-30T00:00:00"/>
    <d v="1901-07-30T00:00:00"/>
    <n v="3.0333333333333332"/>
    <n v="0"/>
    <d v="2022-04-29T00:00:00"/>
    <m/>
    <m/>
    <d v="1901-12-02T00:00:00"/>
    <m/>
    <d v="1901-05-30T00:00:00"/>
    <x v="39"/>
    <x v="8"/>
    <n v="7.2333333333333334"/>
    <n v="17287"/>
    <n v="125042.63333333333"/>
    <m/>
    <n v="0"/>
    <n v="0"/>
    <m/>
    <m/>
    <m/>
    <n v="0"/>
    <m/>
    <m/>
    <s v="PC à déposer 10/02/18 au plus tard / attente données hydrétudes"/>
    <s v="stand by RHI"/>
    <d v="2022-04-29T00:00:00"/>
    <m/>
    <m/>
    <m/>
    <m/>
    <m/>
    <m/>
    <d v="1902-07-30T00:00:00"/>
    <m/>
    <m/>
    <m/>
    <m/>
    <m/>
    <m/>
    <m/>
    <m/>
    <m/>
    <m/>
    <m/>
    <m/>
    <m/>
    <m/>
    <m/>
    <n v="5567908"/>
    <n v="5567908"/>
    <n v="5567908"/>
    <n v="647210"/>
    <n v="2145.1415670425604"/>
    <n v="168724.48484848486"/>
    <n v="1771481"/>
    <m/>
    <n v="53681.242424242424"/>
    <n v="3149217"/>
    <n v="424625"/>
    <n v="2724592"/>
    <n v="95430.818181818177"/>
    <m/>
    <n v="643500"/>
    <m/>
    <n v="0.11557303030150642"/>
    <m/>
    <m/>
    <n v="3710"/>
    <n v="19500"/>
    <n v="73181.242424242431"/>
    <m/>
    <m/>
    <e v="#REF!"/>
    <m/>
    <n v="73181.242424242431"/>
    <e v="#REF!"/>
    <m/>
    <m/>
    <n v="0"/>
    <m/>
    <n v="0"/>
    <n v="5567908"/>
    <n v="5567908"/>
    <m/>
    <n v="0"/>
    <n v="647210"/>
    <n v="0"/>
    <m/>
    <m/>
    <m/>
    <m/>
    <n v="0"/>
    <m/>
    <m/>
    <m/>
    <m/>
    <m/>
    <m/>
    <n v="0"/>
    <m/>
  </r>
  <r>
    <s v="Citronnelles"/>
    <x v="2"/>
    <x v="2"/>
    <x v="2"/>
    <m/>
    <s v="JER"/>
    <s v="NLE"/>
    <x v="8"/>
    <m/>
    <s v="BK 1082"/>
    <s v="RAS"/>
    <s v="SODEGIS"/>
    <s v="HOAREAU"/>
    <d v="1993-02-08T00:00:00"/>
    <m/>
    <m/>
    <m/>
    <m/>
    <m/>
    <m/>
    <m/>
    <m/>
    <m/>
    <m/>
    <e v="#DIV/0!"/>
    <m/>
    <m/>
    <m/>
    <x v="2"/>
    <n v="45"/>
    <n v="0"/>
    <m/>
    <m/>
    <m/>
    <n v="45"/>
    <m/>
    <m/>
    <n v="0"/>
    <n v="0"/>
    <m/>
    <m/>
    <m/>
    <m/>
    <m/>
    <m/>
    <m/>
    <m/>
    <m/>
    <m/>
    <m/>
    <m/>
    <m/>
    <m/>
    <m/>
    <m/>
    <m/>
    <m/>
    <m/>
    <m/>
    <m/>
    <m/>
    <d v="2017-03-30T00:00:00"/>
    <d v="2017-10-24T00:00:00"/>
    <m/>
    <n v="6.9333333333333336"/>
    <m/>
    <d v="2017-12-12T00:00:00"/>
    <d v="2018-05-15T00:00:00"/>
    <n v="5.1333333333333337"/>
    <n v="78079"/>
    <d v="2018-08-15T00:00:00"/>
    <m/>
    <d v="2018-09-01T00:00:00"/>
    <d v="2020-09-01T00:00:00"/>
    <m/>
    <m/>
    <m/>
    <m/>
    <m/>
    <d v="2016-10-06T00:00:00"/>
    <m/>
    <m/>
    <s v="0"/>
    <d v="2017-05-17T00:00:00"/>
    <d v="2017-05-25T00:00:00"/>
    <n v="8"/>
    <d v="2017-03-20T00:00:00"/>
    <d v="2017-04-28T00:00:00"/>
    <n v="39"/>
    <d v="2017-05-22T00:00:00"/>
    <d v="2020-04-29T00:00:00"/>
    <n v="1073"/>
    <d v="2017-08-15T00:00:00"/>
    <d v="2020-04-29T00:00:00"/>
    <n v="988"/>
    <m/>
    <d v="2018-06-19T00:00:00"/>
    <d v="2017-12-05T00:00:00"/>
    <d v="2020-04-29T00:00:00"/>
    <n v="876"/>
    <d v="2017-12-12T00:00:00"/>
    <x v="6"/>
    <x v="2"/>
    <n v="11"/>
    <n v="281"/>
    <n v="12"/>
    <n v="18"/>
    <m/>
    <d v="2020-04-29T00:00:00"/>
    <s v="0"/>
    <m/>
    <d v="2020-04-29T00:00:00"/>
    <s v="0"/>
    <m/>
    <d v="2020-04-29T00:00:00"/>
    <s v="0"/>
    <d v="2019-02-01T00:00:00"/>
    <d v="2020-04-29T00:00:00"/>
    <n v="453"/>
    <m/>
    <m/>
    <s v="0"/>
    <m/>
    <d v="2020-04-29T00:00:00"/>
    <s v="0"/>
    <d v="2019-04-19T00:00:00"/>
    <d v="2020-04-29T00:00:00"/>
    <n v="376"/>
    <m/>
    <m/>
    <m/>
    <d v="2019-09-19T00:00:00"/>
    <d v="2020-04-15T00:00:00"/>
    <n v="6.9666666666666668"/>
    <n v="0"/>
    <d v="2022-04-29T00:00:00"/>
    <m/>
    <m/>
    <m/>
    <m/>
    <d v="2019-10-19T00:00:00"/>
    <x v="40"/>
    <x v="8"/>
    <n v="6.9666666666666668"/>
    <m/>
    <n v="0"/>
    <m/>
    <n v="0"/>
    <n v="0"/>
    <m/>
    <m/>
    <m/>
    <n v="0"/>
    <m/>
    <m/>
    <s v="1 MOIS = GILETS JAUNES_x000a_2 MOIS = MARGE DE SECURITE_x000a_2 MOIS = COVID _x000a_TS prêt complémentaire"/>
    <s v="tvx complémentaires - dates à caler fin sept"/>
    <d v="2022-04-29T00:00:00"/>
    <m/>
    <m/>
    <m/>
    <m/>
    <m/>
    <m/>
    <d v="2021-04-15T00:00:00"/>
    <m/>
    <m/>
    <m/>
    <m/>
    <m/>
    <m/>
    <m/>
    <m/>
    <m/>
    <m/>
    <m/>
    <m/>
    <m/>
    <m/>
    <m/>
    <n v="2090128"/>
    <n v="2090128"/>
    <m/>
    <n v="291620"/>
    <e v="#DIV/0!"/>
    <n v="46447.288888888892"/>
    <m/>
    <m/>
    <e v="#REF!"/>
    <n v="1348508"/>
    <m/>
    <m/>
    <n v="29966.844444444443"/>
    <m/>
    <n v="281250"/>
    <m/>
    <n v="0.13456113692558541"/>
    <n v="450000"/>
    <m/>
    <n v="10370"/>
    <n v="6250"/>
    <n v="6250"/>
    <m/>
    <m/>
    <e v="#REF!"/>
    <m/>
    <n v="6250"/>
    <e v="#REF!"/>
    <m/>
    <m/>
    <m/>
    <n v="435509.55661999999"/>
    <n v="0.20836501717598155"/>
    <n v="1654618.4433800001"/>
    <n v="1654618.4433800001"/>
    <n v="1"/>
    <m/>
    <n v="291620"/>
    <n v="0"/>
    <m/>
    <m/>
    <m/>
    <m/>
    <n v="0"/>
    <m/>
    <m/>
    <m/>
    <m/>
    <m/>
    <m/>
    <n v="0"/>
    <m/>
  </r>
  <r>
    <s v="Bras des Etangs"/>
    <x v="12"/>
    <x v="0"/>
    <x v="2"/>
    <m/>
    <s v="JER"/>
    <s v="NLE"/>
    <x v="1"/>
    <m/>
    <s v="AI 1718"/>
    <s v="AE 44 / 45 /  46 / 48 n'existent plus au cadastre_x000a_récupérer fiche immeuble"/>
    <s v="SODEGIS"/>
    <s v="HOARAU"/>
    <d v="1997-05-19T00:00:00"/>
    <m/>
    <m/>
    <m/>
    <m/>
    <m/>
    <m/>
    <m/>
    <m/>
    <m/>
    <m/>
    <e v="#DIV/0!"/>
    <m/>
    <m/>
    <m/>
    <x v="2"/>
    <n v="31"/>
    <n v="0"/>
    <m/>
    <m/>
    <m/>
    <n v="31"/>
    <m/>
    <m/>
    <n v="0"/>
    <n v="0"/>
    <m/>
    <m/>
    <m/>
    <m/>
    <m/>
    <m/>
    <m/>
    <m/>
    <m/>
    <m/>
    <m/>
    <m/>
    <m/>
    <m/>
    <m/>
    <m/>
    <m/>
    <m/>
    <m/>
    <m/>
    <m/>
    <m/>
    <d v="2017-03-30T00:00:00"/>
    <d v="2017-10-31T00:00:00"/>
    <m/>
    <n v="7.166666666666667"/>
    <m/>
    <d v="2017-12-12T00:00:00"/>
    <d v="2018-05-14T00:00:00"/>
    <n v="5.0999999999999996"/>
    <n v="78084"/>
    <d v="2018-08-14T00:00:00"/>
    <m/>
    <d v="2018-09-01T00:00:00"/>
    <d v="2020-09-01T00:00:00"/>
    <m/>
    <m/>
    <m/>
    <m/>
    <m/>
    <d v="2016-09-19T00:00:00"/>
    <m/>
    <m/>
    <s v="0"/>
    <d v="2017-06-28T00:00:00"/>
    <d v="2017-05-29T00:00:00"/>
    <n v="-30"/>
    <d v="2017-03-15T00:00:00"/>
    <d v="2017-06-07T00:00:00"/>
    <n v="84"/>
    <d v="2017-08-25T00:00:00"/>
    <d v="2017-08-29T00:00:00"/>
    <n v="4"/>
    <d v="2017-08-30T00:00:00"/>
    <d v="2017-08-29T00:00:00"/>
    <n v="-1"/>
    <m/>
    <d v="2018-05-29T00:00:00"/>
    <d v="2017-12-08T00:00:00"/>
    <d v="2020-04-29T00:00:00"/>
    <n v="873"/>
    <d v="2017-12-21T00:00:00"/>
    <x v="43"/>
    <x v="2"/>
    <n v="13.4"/>
    <n v="351"/>
    <n v="12"/>
    <n v="16"/>
    <m/>
    <d v="2020-04-29T00:00:00"/>
    <s v="0"/>
    <m/>
    <d v="2020-04-29T00:00:00"/>
    <s v="0"/>
    <m/>
    <d v="2020-04-29T00:00:00"/>
    <s v="0"/>
    <d v="2019-02-02T00:00:00"/>
    <d v="2020-04-29T00:00:00"/>
    <n v="452"/>
    <m/>
    <m/>
    <s v="0"/>
    <m/>
    <d v="2020-04-29T00:00:00"/>
    <s v="0"/>
    <d v="2019-04-20T00:00:00"/>
    <d v="2020-04-29T00:00:00"/>
    <n v="375"/>
    <m/>
    <m/>
    <m/>
    <d v="2019-12-07T00:00:00"/>
    <d v="2020-04-15T00:00:00"/>
    <n v="4.333333333333333"/>
    <n v="0"/>
    <d v="2022-04-29T00:00:00"/>
    <m/>
    <m/>
    <m/>
    <m/>
    <d v="2020-01-07T00:00:00"/>
    <x v="40"/>
    <x v="8"/>
    <n v="4.3"/>
    <m/>
    <n v="0"/>
    <m/>
    <n v="0"/>
    <n v="0"/>
    <m/>
    <m/>
    <m/>
    <n v="0"/>
    <m/>
    <m/>
    <s v="2 MOIS = COVID _x000a_TS prêt complémentaire"/>
    <s v="tvx complémentaires - dates à caler fin sept"/>
    <d v="2022-04-29T00:00:00"/>
    <m/>
    <m/>
    <m/>
    <m/>
    <m/>
    <m/>
    <d v="2021-04-15T00:00:00"/>
    <m/>
    <m/>
    <m/>
    <m/>
    <m/>
    <m/>
    <m/>
    <m/>
    <m/>
    <m/>
    <m/>
    <m/>
    <m/>
    <m/>
    <m/>
    <n v="2102936"/>
    <n v="2102936"/>
    <m/>
    <n v="466366"/>
    <e v="#DIV/0!"/>
    <n v="67836.645161290318"/>
    <m/>
    <m/>
    <e v="#REF!"/>
    <n v="989127"/>
    <m/>
    <m/>
    <n v="31907.322580645163"/>
    <n v="347443"/>
    <n v="401760"/>
    <m/>
    <n v="0.19104718355670358"/>
    <n v="300000"/>
    <m/>
    <n v="64606"/>
    <n v="12960"/>
    <n v="12960"/>
    <m/>
    <m/>
    <e v="#REF!"/>
    <m/>
    <n v="12960"/>
    <e v="#REF!"/>
    <m/>
    <m/>
    <m/>
    <n v="241383.86025999996"/>
    <n v="0.11478421609597247"/>
    <n v="1861552.13974"/>
    <n v="1861552.13974"/>
    <n v="1"/>
    <m/>
    <n v="466366"/>
    <n v="0"/>
    <m/>
    <m/>
    <m/>
    <m/>
    <n v="0"/>
    <m/>
    <m/>
    <m/>
    <m/>
    <m/>
    <m/>
    <n v="0"/>
    <m/>
  </r>
  <r>
    <s v="Caramboles"/>
    <x v="9"/>
    <x v="2"/>
    <x v="2"/>
    <m/>
    <s v="JER"/>
    <s v="VAF"/>
    <x v="1"/>
    <m/>
    <s v="AP 1375"/>
    <s v="AP 513 / AS 63 - 64 - n'existent plus au cadastre / manque des justificatifs_x000a_récupérer fiche immeuble"/>
    <s v="SODEGIS"/>
    <s v="HOARAU"/>
    <d v="1995-12-16T00:00:00"/>
    <m/>
    <m/>
    <m/>
    <m/>
    <m/>
    <m/>
    <m/>
    <m/>
    <m/>
    <m/>
    <e v="#DIV/0!"/>
    <m/>
    <m/>
    <m/>
    <x v="2"/>
    <n v="6"/>
    <n v="0"/>
    <m/>
    <m/>
    <m/>
    <n v="6"/>
    <m/>
    <m/>
    <n v="0"/>
    <n v="0"/>
    <m/>
    <m/>
    <m/>
    <m/>
    <m/>
    <m/>
    <m/>
    <m/>
    <m/>
    <m/>
    <m/>
    <m/>
    <m/>
    <m/>
    <m/>
    <m/>
    <m/>
    <m/>
    <m/>
    <m/>
    <m/>
    <m/>
    <d v="2017-03-30T00:00:00"/>
    <d v="2017-09-27T00:00:00"/>
    <m/>
    <n v="6.0333333333333332"/>
    <m/>
    <d v="2017-12-12T00:00:00"/>
    <d v="2018-05-14T00:00:00"/>
    <n v="5.0999999999999996"/>
    <n v="78083"/>
    <d v="2018-08-14T00:00:00"/>
    <m/>
    <d v="2018-09-01T00:00:00"/>
    <d v="2020-09-01T00:00:00"/>
    <m/>
    <m/>
    <m/>
    <m/>
    <m/>
    <d v="2016-10-06T00:00:00"/>
    <m/>
    <m/>
    <s v="0"/>
    <d v="2017-06-15T00:00:00"/>
    <d v="2017-05-29T00:00:00"/>
    <n v="-17"/>
    <d v="2017-03-20T00:00:00"/>
    <d v="2017-05-26T00:00:00"/>
    <n v="67"/>
    <d v="2017-08-25T00:00:00"/>
    <d v="2020-04-29T00:00:00"/>
    <n v="978"/>
    <d v="2017-08-25T00:00:00"/>
    <d v="2020-04-29T00:00:00"/>
    <n v="978"/>
    <m/>
    <d v="2018-07-15T00:00:00"/>
    <d v="2017-12-05T00:00:00"/>
    <d v="2020-04-29T00:00:00"/>
    <n v="876"/>
    <d v="2017-12-12T00:00:00"/>
    <x v="44"/>
    <x v="2"/>
    <n v="14.9"/>
    <n v="371"/>
    <n v="7"/>
    <n v="15"/>
    <m/>
    <d v="2020-04-29T00:00:00"/>
    <s v="0"/>
    <m/>
    <d v="2020-04-29T00:00:00"/>
    <s v="0"/>
    <m/>
    <d v="2020-04-29T00:00:00"/>
    <s v="0"/>
    <d v="2019-02-04T00:00:00"/>
    <d v="2020-04-29T00:00:00"/>
    <n v="450"/>
    <m/>
    <m/>
    <s v="0"/>
    <m/>
    <d v="2020-04-29T00:00:00"/>
    <s v="0"/>
    <d v="2019-04-22T00:00:00"/>
    <d v="2020-04-29T00:00:00"/>
    <n v="373"/>
    <m/>
    <m/>
    <m/>
    <d v="2019-07-18T00:00:00"/>
    <d v="2020-04-15T00:00:00"/>
    <n v="9.0666666666666664"/>
    <n v="0"/>
    <d v="2022-04-29T00:00:00"/>
    <m/>
    <m/>
    <m/>
    <m/>
    <d v="2019-08-18T00:00:00"/>
    <x v="40"/>
    <x v="8"/>
    <n v="9.0333333333333332"/>
    <m/>
    <n v="0"/>
    <m/>
    <n v="0"/>
    <n v="31250"/>
    <m/>
    <m/>
    <m/>
    <n v="0"/>
    <m/>
    <m/>
    <s v="2 MOIS = COVID _x000a_TS prêt complémentaire"/>
    <s v="tvx complémentaires - dates à caler fin sept"/>
    <d v="2022-04-29T00:00:00"/>
    <m/>
    <m/>
    <m/>
    <m/>
    <m/>
    <m/>
    <d v="2021-04-15T00:00:00"/>
    <m/>
    <m/>
    <m/>
    <m/>
    <m/>
    <m/>
    <m/>
    <m/>
    <m/>
    <m/>
    <m/>
    <m/>
    <m/>
    <m/>
    <m/>
    <n v="263550"/>
    <n v="263550"/>
    <m/>
    <n v="20940"/>
    <e v="#DIV/0!"/>
    <n v="43925"/>
    <m/>
    <m/>
    <e v="#REF!"/>
    <n v="82610"/>
    <m/>
    <m/>
    <n v="13768.333333333334"/>
    <n v="100000"/>
    <n v="10920"/>
    <m/>
    <n v="4.1434262948207172E-2"/>
    <n v="60000"/>
    <m/>
    <n v="10020"/>
    <n v="1820"/>
    <n v="1820"/>
    <m/>
    <m/>
    <e v="#REF!"/>
    <m/>
    <n v="1820"/>
    <e v="#REF!"/>
    <m/>
    <m/>
    <m/>
    <n v="74757.429999999993"/>
    <n v="0.28365558717510908"/>
    <n v="188792.57"/>
    <n v="188792.57"/>
    <n v="1"/>
    <m/>
    <n v="20940"/>
    <n v="0"/>
    <m/>
    <m/>
    <m/>
    <m/>
    <n v="0"/>
    <m/>
    <m/>
    <m/>
    <m/>
    <m/>
    <m/>
    <n v="0"/>
    <m/>
  </r>
  <r>
    <s v="VEFA Raisins Marines (Hopital)"/>
    <x v="3"/>
    <x v="0"/>
    <x v="2"/>
    <s v="PRLC 0195"/>
    <s v="YFR"/>
    <s v="VAF"/>
    <x v="1"/>
    <m/>
    <s v="ET 909 / 1256"/>
    <m/>
    <m/>
    <m/>
    <m/>
    <n v="4801"/>
    <n v="473822"/>
    <n v="473822"/>
    <n v="15794.066666666668"/>
    <n v="98.692355759216824"/>
    <n v="98.692355759216824"/>
    <n v="277.36300788498573"/>
    <n v="15794.066666666668"/>
    <n v="160.03333333333333"/>
    <m/>
    <n v="62.486981878775254"/>
    <m/>
    <m/>
    <m/>
    <x v="0"/>
    <n v="30"/>
    <n v="30"/>
    <m/>
    <n v="30"/>
    <m/>
    <m/>
    <n v="1699.31"/>
    <n v="1708.31"/>
    <n v="56.643666666666668"/>
    <n v="56.943666666666665"/>
    <n v="5.89"/>
    <n v="5.86"/>
    <n v="333.5"/>
    <m/>
    <m/>
    <m/>
    <m/>
    <m/>
    <m/>
    <m/>
    <m/>
    <n v="3"/>
    <s v="collectif"/>
    <s v="non"/>
    <n v="3564776"/>
    <n v="2097.7785101011586"/>
    <n v="2086.7266479737286"/>
    <n v="118825.86666666667"/>
    <m/>
    <m/>
    <m/>
    <m/>
    <d v="2017-03-30T00:00:00"/>
    <d v="2017-06-23T00:00:00"/>
    <m/>
    <n v="2.8333333333333335"/>
    <s v="x"/>
    <d v="2017-08-20T00:00:00"/>
    <d v="2017-10-09T00:00:00"/>
    <n v="1.6666666666666667"/>
    <n v="69522"/>
    <d v="2017-10-06T00:00:00"/>
    <m/>
    <d v="2017-11-06T00:00:00"/>
    <d v="2019-11-06T00:00:00"/>
    <n v="90322"/>
    <s v="oui"/>
    <n v="-7.4"/>
    <s v="0"/>
    <n v="90322"/>
    <m/>
    <m/>
    <m/>
    <s v="0"/>
    <d v="2017-02-06T00:00:00"/>
    <d v="2016-12-27T00:00:00"/>
    <n v="-41"/>
    <m/>
    <m/>
    <s v="0"/>
    <m/>
    <m/>
    <s v="0"/>
    <m/>
    <m/>
    <s v="0"/>
    <m/>
    <m/>
    <d v="2017-11-30T00:00:00"/>
    <d v="2017-12-04T00:00:00"/>
    <n v="4"/>
    <d v="2017-12-11T00:00:00"/>
    <x v="45"/>
    <x v="2"/>
    <n v="6.4"/>
    <n v="21"/>
    <n v="15"/>
    <n v="28"/>
    <m/>
    <d v="2018-02-14T00:00:00"/>
    <s v="0"/>
    <m/>
    <d v="2018-02-14T00:00:00"/>
    <s v="0"/>
    <d v="2019-03-30T00:00:00"/>
    <d v="2020-04-29T00:00:00"/>
    <n v="396"/>
    <d v="2019-04-30T00:00:00"/>
    <d v="2020-04-29T00:00:00"/>
    <n v="365"/>
    <d v="2019-04-30T00:00:00"/>
    <d v="2020-04-29T00:00:00"/>
    <n v="365"/>
    <d v="2019-05-30T00:00:00"/>
    <d v="2020-04-29T00:00:00"/>
    <n v="335"/>
    <d v="2019-07-30T00:00:00"/>
    <d v="2020-04-29T00:00:00"/>
    <n v="274"/>
    <m/>
    <m/>
    <m/>
    <d v="2019-03-01T00:00:00"/>
    <d v="2020-05-15T00:00:00"/>
    <n v="14.7"/>
    <n v="0.53333333333333333"/>
    <d v="2020-02-14T00:00:00"/>
    <d v="2020-02-07T00:00:00"/>
    <d v="2018-10-19T00:00:00"/>
    <m/>
    <m/>
    <d v="2019-10-31T00:00:00"/>
    <x v="41"/>
    <x v="8"/>
    <n v="7.6"/>
    <n v="6939.2816730000004"/>
    <n v="52738.540714800001"/>
    <n v="20817.845019"/>
    <n v="0"/>
    <n v="0"/>
    <n v="0"/>
    <m/>
    <n v="0"/>
    <n v="0"/>
    <m/>
    <m/>
    <s v="1 MOIS = résiliation lot gros-œuvre_x000a_1 MOIS = GILETS JAUNES_x000a_1,5 MOIS = MARGE DE SECURITE_x000a_2 MOIS = COVID "/>
    <m/>
    <d v="2020-02-14T00:00:00"/>
    <m/>
    <m/>
    <m/>
    <m/>
    <m/>
    <m/>
    <d v="2021-05-15T00:00:00"/>
    <m/>
    <m/>
    <m/>
    <m/>
    <m/>
    <m/>
    <m/>
    <m/>
    <m/>
    <m/>
    <m/>
    <m/>
    <m/>
    <m/>
    <m/>
    <n v="3933421.67"/>
    <n v="3933421.67"/>
    <n v="3933421.67"/>
    <n v="700000"/>
    <n v="2302.5221827420082"/>
    <n v="131114.05566666665"/>
    <n v="1133134.67"/>
    <n v="1181624"/>
    <n v="37771.155666666666"/>
    <n v="2100287"/>
    <n v="459254"/>
    <n v="1641033"/>
    <n v="70009.566666666666"/>
    <m/>
    <n v="700000"/>
    <m/>
    <n v="0.17796210493750597"/>
    <m/>
    <m/>
    <m/>
    <n v="23333.333333333332"/>
    <n v="61104.488999999994"/>
    <m/>
    <m/>
    <n v="61104.488999999994"/>
    <m/>
    <n v="61104.488999999994"/>
    <n v="0.46604072072445768"/>
    <m/>
    <m/>
    <n v="0"/>
    <n v="2469528.8628699998"/>
    <n v="0.6278322209146725"/>
    <n v="1463892.8071300001"/>
    <n v="1463892.8071300001"/>
    <n v="1"/>
    <n v="0"/>
    <n v="700000"/>
    <n v="0"/>
    <m/>
    <m/>
    <m/>
    <m/>
    <n v="0"/>
    <m/>
    <m/>
    <m/>
    <m/>
    <m/>
    <m/>
    <n v="0"/>
    <m/>
  </r>
  <r>
    <s v="Hubert Delisle"/>
    <x v="2"/>
    <x v="2"/>
    <x v="2"/>
    <m/>
    <s v="JER"/>
    <s v="NLE"/>
    <x v="1"/>
    <m/>
    <s v="BR 1091"/>
    <s v="pas de justificatif_x000a_récupérer fiche immeuble"/>
    <m/>
    <m/>
    <m/>
    <m/>
    <m/>
    <m/>
    <m/>
    <m/>
    <m/>
    <m/>
    <m/>
    <m/>
    <m/>
    <e v="#DIV/0!"/>
    <m/>
    <m/>
    <m/>
    <x v="2"/>
    <n v="74"/>
    <n v="0"/>
    <m/>
    <m/>
    <m/>
    <n v="74"/>
    <m/>
    <m/>
    <n v="0"/>
    <n v="0"/>
    <m/>
    <m/>
    <m/>
    <m/>
    <m/>
    <m/>
    <m/>
    <m/>
    <m/>
    <m/>
    <m/>
    <m/>
    <m/>
    <m/>
    <m/>
    <m/>
    <m/>
    <m/>
    <m/>
    <m/>
    <m/>
    <m/>
    <d v="2017-03-30T00:00:00"/>
    <d v="2017-10-31T00:00:00"/>
    <m/>
    <n v="7.166666666666667"/>
    <m/>
    <d v="2017-12-12T00:00:00"/>
    <d v="2018-05-15T00:00:00"/>
    <n v="5.1333333333333337"/>
    <n v="78078"/>
    <d v="2018-08-15T00:00:00"/>
    <m/>
    <d v="2018-09-01T00:00:00"/>
    <d v="2020-09-01T00:00:00"/>
    <m/>
    <m/>
    <m/>
    <m/>
    <m/>
    <d v="2016-09-19T00:00:00"/>
    <m/>
    <m/>
    <s v="0"/>
    <d v="2017-05-15T00:00:00"/>
    <d v="2017-05-24T00:00:00"/>
    <n v="9"/>
    <d v="2017-03-20T00:00:00"/>
    <d v="2017-04-26T00:00:00"/>
    <n v="37"/>
    <d v="2017-05-19T00:00:00"/>
    <d v="2017-07-19T00:00:00"/>
    <n v="61"/>
    <d v="2017-07-20T00:00:00"/>
    <d v="2017-07-19T00:00:00"/>
    <n v="-1"/>
    <m/>
    <d v="2018-05-29T00:00:00"/>
    <d v="2017-12-05T00:00:00"/>
    <d v="2020-04-29T00:00:00"/>
    <n v="876"/>
    <d v="2017-12-12T00:00:00"/>
    <x v="46"/>
    <x v="2"/>
    <n v="10.533333333333333"/>
    <n v="274"/>
    <n v="12"/>
    <n v="20"/>
    <m/>
    <d v="2020-04-29T00:00:00"/>
    <s v="0"/>
    <m/>
    <d v="2020-04-29T00:00:00"/>
    <s v="0"/>
    <m/>
    <d v="2020-04-29T00:00:00"/>
    <s v="0"/>
    <d v="2019-01-31T00:00:00"/>
    <d v="2020-04-29T00:00:00"/>
    <n v="454"/>
    <m/>
    <m/>
    <s v="0"/>
    <m/>
    <d v="2020-04-29T00:00:00"/>
    <s v="0"/>
    <d v="2019-04-18T00:00:00"/>
    <d v="2020-04-29T00:00:00"/>
    <n v="377"/>
    <m/>
    <m/>
    <m/>
    <d v="2019-09-12T00:00:00"/>
    <d v="2020-05-15T00:00:00"/>
    <n v="8.1999999999999993"/>
    <n v="0.53333333333333333"/>
    <d v="2022-04-29T00:00:00"/>
    <m/>
    <m/>
    <m/>
    <m/>
    <d v="2019-10-12T00:00:00"/>
    <x v="41"/>
    <x v="8"/>
    <n v="8.2333333333333325"/>
    <m/>
    <n v="0"/>
    <m/>
    <n v="0"/>
    <n v="0"/>
    <n v="111598"/>
    <m/>
    <m/>
    <n v="0"/>
    <m/>
    <m/>
    <s v="1 MOIS = GILETS JAUNES_x000a_2 MOIS = MARGE DE SECURITE_x000a_2 MOIS = COVID _x000a_TS   "/>
    <s v="tvx complémentaires - dates à caler fin sept"/>
    <d v="2022-04-29T00:00:00"/>
    <m/>
    <m/>
    <m/>
    <m/>
    <m/>
    <m/>
    <d v="2021-05-15T00:00:00"/>
    <m/>
    <m/>
    <m/>
    <m/>
    <m/>
    <m/>
    <m/>
    <m/>
    <m/>
    <m/>
    <m/>
    <m/>
    <m/>
    <m/>
    <m/>
    <n v="3419295"/>
    <n v="3419295"/>
    <m/>
    <n v="464540"/>
    <e v="#DIV/0!"/>
    <n v="46206.689189189186"/>
    <m/>
    <m/>
    <e v="#REF!"/>
    <n v="2214755"/>
    <m/>
    <m/>
    <n v="29929.12162162162"/>
    <m/>
    <n v="462500"/>
    <m/>
    <n v="0.13526180104378241"/>
    <n v="740000"/>
    <m/>
    <n v="2040"/>
    <n v="6250"/>
    <n v="6250"/>
    <m/>
    <m/>
    <e v="#REF!"/>
    <m/>
    <n v="6250"/>
    <e v="#REF!"/>
    <m/>
    <m/>
    <m/>
    <n v="896776.81884999992"/>
    <n v="0.26226950843668062"/>
    <n v="2522518.1811500001"/>
    <n v="2522518.1811500001"/>
    <n v="1"/>
    <m/>
    <n v="464540"/>
    <n v="0"/>
    <m/>
    <m/>
    <m/>
    <m/>
    <n v="0"/>
    <m/>
    <m/>
    <m/>
    <m/>
    <m/>
    <m/>
    <n v="0"/>
    <m/>
  </r>
  <r>
    <s v="Bougainvillées"/>
    <x v="4"/>
    <x v="2"/>
    <x v="2"/>
    <m/>
    <s v="JER"/>
    <s v="DAM"/>
    <x v="1"/>
    <m/>
    <s v="BT 607"/>
    <s v="BT 130 / 319 / 111 : seule la BT 111 existe encore à ce jour_x000a_manque justificatifs des autres parcelles_x000a_récupérer fiche immeuble"/>
    <s v="SODEGIS"/>
    <s v="HOAREAU"/>
    <d v="1995-08-03T00:00:00"/>
    <m/>
    <m/>
    <m/>
    <m/>
    <m/>
    <m/>
    <m/>
    <m/>
    <m/>
    <m/>
    <e v="#DIV/0!"/>
    <m/>
    <m/>
    <m/>
    <x v="2"/>
    <n v="26"/>
    <n v="0"/>
    <m/>
    <m/>
    <m/>
    <n v="26"/>
    <m/>
    <m/>
    <n v="0"/>
    <n v="0"/>
    <m/>
    <m/>
    <m/>
    <m/>
    <m/>
    <m/>
    <m/>
    <m/>
    <m/>
    <m/>
    <m/>
    <m/>
    <m/>
    <m/>
    <m/>
    <m/>
    <m/>
    <m/>
    <m/>
    <m/>
    <m/>
    <m/>
    <d v="2017-03-30T00:00:00"/>
    <d v="2017-09-27T00:00:00"/>
    <m/>
    <n v="6.0333333333333332"/>
    <m/>
    <d v="2017-12-12T00:00:00"/>
    <d v="2018-05-15T00:00:00"/>
    <n v="5.1333333333333337"/>
    <n v="78080"/>
    <d v="2018-08-15T00:00:00"/>
    <m/>
    <d v="2018-09-01T00:00:00"/>
    <d v="2020-09-01T00:00:00"/>
    <m/>
    <m/>
    <m/>
    <m/>
    <m/>
    <d v="2016-10-06T00:00:00"/>
    <m/>
    <m/>
    <s v="0"/>
    <d v="2017-04-14T00:00:00"/>
    <d v="2017-05-24T00:00:00"/>
    <n v="40"/>
    <d v="2017-03-20T00:00:00"/>
    <d v="2017-02-27T00:00:00"/>
    <n v="-21"/>
    <d v="2017-04-19T00:00:00"/>
    <d v="2020-04-29T00:00:00"/>
    <n v="1106"/>
    <d v="2017-08-18T00:00:00"/>
    <d v="2020-04-29T00:00:00"/>
    <n v="985"/>
    <m/>
    <d v="2018-05-29T00:00:00"/>
    <d v="2017-12-14T00:00:00"/>
    <d v="2020-04-29T00:00:00"/>
    <n v="867"/>
    <d v="2017-12-21T00:00:00"/>
    <x v="47"/>
    <x v="2"/>
    <n v="11.933333333333334"/>
    <n v="273"/>
    <n v="12"/>
    <n v="19"/>
    <m/>
    <d v="2020-04-29T00:00:00"/>
    <s v="0"/>
    <m/>
    <d v="2020-04-29T00:00:00"/>
    <s v="0"/>
    <m/>
    <d v="2020-04-29T00:00:00"/>
    <s v="0"/>
    <d v="2019-02-05T00:00:00"/>
    <d v="2020-04-29T00:00:00"/>
    <n v="449"/>
    <m/>
    <m/>
    <s v="0"/>
    <m/>
    <d v="2020-04-29T00:00:00"/>
    <s v="0"/>
    <d v="2019-04-23T00:00:00"/>
    <d v="2020-04-29T00:00:00"/>
    <n v="372"/>
    <m/>
    <m/>
    <m/>
    <d v="2019-09-20T00:00:00"/>
    <d v="2020-05-15T00:00:00"/>
    <n v="7.9333333333333336"/>
    <n v="0.53333333333333333"/>
    <d v="2022-04-29T00:00:00"/>
    <m/>
    <m/>
    <m/>
    <m/>
    <d v="2019-10-20T00:00:00"/>
    <x v="41"/>
    <x v="8"/>
    <n v="7.9666666666666668"/>
    <m/>
    <n v="0"/>
    <m/>
    <n v="0"/>
    <n v="0"/>
    <m/>
    <m/>
    <m/>
    <n v="0"/>
    <m/>
    <m/>
    <s v="1 MOIS = GILETS JAUNES_x000a_2 MOIS = MARGE DE SECURITE_x000a_2 MOIS = COVID _x000a_TS prêt complémentaire"/>
    <s v="tvx complémentaires - dates à caler fin sept"/>
    <d v="2022-04-29T00:00:00"/>
    <m/>
    <m/>
    <m/>
    <m/>
    <m/>
    <m/>
    <d v="2021-05-15T00:00:00"/>
    <m/>
    <m/>
    <m/>
    <m/>
    <m/>
    <m/>
    <m/>
    <m/>
    <m/>
    <m/>
    <m/>
    <m/>
    <m/>
    <m/>
    <m/>
    <n v="1069766.29"/>
    <n v="1069766.29"/>
    <m/>
    <n v="92426.290000000008"/>
    <e v="#DIV/0!"/>
    <n v="41144.857307692306"/>
    <m/>
    <m/>
    <e v="#REF!"/>
    <n v="827340"/>
    <m/>
    <m/>
    <n v="31820.76923076923"/>
    <n v="150000"/>
    <n v="47320"/>
    <m/>
    <n v="4.423396067191461E-2"/>
    <m/>
    <m/>
    <n v="45106.29"/>
    <n v="1820"/>
    <n v="1820"/>
    <m/>
    <m/>
    <e v="#REF!"/>
    <m/>
    <n v="1820"/>
    <e v="#REF!"/>
    <m/>
    <m/>
    <m/>
    <n v="185676.66064999998"/>
    <n v="0.17356750010322344"/>
    <n v="884089.62935000006"/>
    <n v="884089.62935000006"/>
    <n v="1"/>
    <m/>
    <n v="92426.290000000008"/>
    <n v="0"/>
    <m/>
    <m/>
    <m/>
    <m/>
    <n v="0"/>
    <m/>
    <m/>
    <m/>
    <m/>
    <m/>
    <m/>
    <n v="0"/>
    <m/>
  </r>
  <r>
    <s v="CD 61 Rue Bertaut LLS"/>
    <x v="2"/>
    <x v="2"/>
    <x v="3"/>
    <s v="PRLC 0173"/>
    <s v="BBL"/>
    <s v="SRI"/>
    <x v="1"/>
    <m/>
    <m/>
    <s v="acheté 25/11/15_x000a_DA ER fait_x000a_convention de prise de possession anticipée reçue, à signer  / attention aux enrobés_x000a_OST à évacuer_x000a_AEP coupée_x000a_"/>
    <s v="Etat"/>
    <m/>
    <m/>
    <n v="8838"/>
    <n v="652080"/>
    <n v="652080"/>
    <n v="7326.7415730337079"/>
    <n v="73.78139850644942"/>
    <n v="73.78139850644942"/>
    <n v="336.01286173633446"/>
    <n v="32604"/>
    <n v="441.9"/>
    <m/>
    <n v="22.629554197782305"/>
    <s v="UB"/>
    <n v="630"/>
    <n v="0"/>
    <x v="1"/>
    <n v="20"/>
    <n v="20"/>
    <n v="20"/>
    <m/>
    <m/>
    <m/>
    <n v="1765.6399999999996"/>
    <n v="1940.6399999999996"/>
    <n v="88.281999999999982"/>
    <n v="97.031999999999982"/>
    <n v="6.8645960354319122"/>
    <n v="6.25"/>
    <n v="606.02026719999992"/>
    <m/>
    <m/>
    <m/>
    <n v="0.8"/>
    <n v="0.2"/>
    <m/>
    <s v="SO"/>
    <n v="0"/>
    <n v="4"/>
    <s v="collectif"/>
    <s v="oui"/>
    <m/>
    <m/>
    <m/>
    <m/>
    <d v="2015-01-27T00:00:00"/>
    <m/>
    <m/>
    <m/>
    <d v="2015-03-30T00:00:00"/>
    <d v="2015-12-16T00:00:00"/>
    <d v="2016-01-11T00:00:00"/>
    <n v="8.6999999999999993"/>
    <s v="x"/>
    <d v="2017-06-13T00:00:00"/>
    <d v="2017-07-13T00:00:00"/>
    <n v="1"/>
    <n v="66464"/>
    <d v="2017-10-05T00:00:00"/>
    <m/>
    <d v="2017-11-01T00:00:00"/>
    <d v="2019-11-01T00:00:00"/>
    <n v="90205.94"/>
    <s v="oui"/>
    <n v="-9.3666666666666671"/>
    <s v="0"/>
    <n v="90205.94"/>
    <m/>
    <m/>
    <m/>
    <s v="0"/>
    <m/>
    <m/>
    <s v="0"/>
    <m/>
    <m/>
    <s v="0"/>
    <m/>
    <m/>
    <s v="0"/>
    <m/>
    <m/>
    <s v="0"/>
    <m/>
    <m/>
    <m/>
    <m/>
    <m/>
    <m/>
    <x v="48"/>
    <x v="2"/>
    <n v="25.833333333333332"/>
    <s v="0"/>
    <n v="21"/>
    <n v="29"/>
    <d v="2018-05-30T00:00:00"/>
    <d v="2018-07-13T00:00:00"/>
    <n v="44"/>
    <d v="2018-08-03T00:00:00"/>
    <d v="2018-12-12T00:00:00"/>
    <n v="131"/>
    <d v="2019-03-05T00:00:00"/>
    <d v="2020-04-29T00:00:00"/>
    <n v="421"/>
    <d v="2019-05-30T00:00:00"/>
    <d v="2019-12-19T00:00:00"/>
    <n v="203"/>
    <d v="2019-06-07T00:00:00"/>
    <d v="2019-08-26T00:00:00"/>
    <n v="80"/>
    <d v="2019-05-17T00:00:00"/>
    <d v="2020-04-29T00:00:00"/>
    <n v="348"/>
    <d v="2019-07-01T00:00:00"/>
    <d v="2019-10-01T00:00:00"/>
    <n v="92"/>
    <d v="2019-08-26T00:00:00"/>
    <d v="2019-08-26T00:00:00"/>
    <d v="2019-07-11T00:00:00"/>
    <d v="2019-10-29T00:00:00"/>
    <d v="2020-07-08T00:00:00"/>
    <n v="8.4333333333333336"/>
    <n v="2.3333333333333335"/>
    <d v="2020-12-12T00:00:00"/>
    <m/>
    <d v="2019-11-19T00:00:00"/>
    <m/>
    <m/>
    <d v="2019-11-29T00:00:00"/>
    <x v="42"/>
    <x v="8"/>
    <n v="8.4333333333333336"/>
    <n v="12346"/>
    <n v="104117.93333333333"/>
    <n v="37038"/>
    <n v="0"/>
    <n v="0"/>
    <n v="485791.79999999993"/>
    <m/>
    <n v="0"/>
    <n v="0"/>
    <s v="JMO / FBR"/>
    <s v="Lot désamiantage"/>
    <s v="1 MOIS = adaptation fondations_x000a_1 MOIS = GILETS JAUNES_x000a_3 MOIS = MARGE DE SECURITE_x000a_2 MOIS = COVID "/>
    <m/>
    <d v="2020-12-12T00:00:00"/>
    <m/>
    <m/>
    <m/>
    <m/>
    <m/>
    <m/>
    <d v="2021-07-08T00:00:00"/>
    <m/>
    <m/>
    <m/>
    <m/>
    <m/>
    <m/>
    <m/>
    <m/>
    <m/>
    <m/>
    <m/>
    <m/>
    <m/>
    <m/>
    <m/>
    <n v="3556915.3567086011"/>
    <n v="3556915.3567086011"/>
    <n v="3556915.3567086011"/>
    <n v="258774"/>
    <n v="1832.8568702637283"/>
    <n v="177845.76783543004"/>
    <n v="1228058.3567086009"/>
    <n v="1114069"/>
    <n v="61402.917835430046"/>
    <n v="2066681"/>
    <n v="309940"/>
    <n v="1756741"/>
    <n v="103334.05"/>
    <m/>
    <n v="200000"/>
    <m/>
    <n v="5.622849574499586E-2"/>
    <m/>
    <m/>
    <n v="58774"/>
    <n v="10000"/>
    <n v="71402.917835430038"/>
    <n v="0"/>
    <n v="0"/>
    <n v="71402.917835430038"/>
    <n v="0"/>
    <n v="71402.917835430038"/>
    <n v="0.40148786616897669"/>
    <n v="0"/>
    <m/>
    <n v="3402"/>
    <n v="2102468.2793891593"/>
    <n v="0.59109314350811049"/>
    <n v="1454447.0773194418"/>
    <n v="1454447.0773194418"/>
    <n v="1"/>
    <n v="880000"/>
    <n v="225597"/>
    <n v="0.7959500613695587"/>
    <m/>
    <m/>
    <m/>
    <m/>
    <n v="0"/>
    <m/>
    <m/>
    <m/>
    <m/>
    <m/>
    <m/>
    <n v="0"/>
    <m/>
  </r>
  <r>
    <s v="CD 61 Rue Bertaut LLTS"/>
    <x v="2"/>
    <x v="2"/>
    <x v="6"/>
    <s v="PRLC 0173"/>
    <s v="BBL"/>
    <m/>
    <x v="1"/>
    <m/>
    <m/>
    <s v="acheté 25/11/15_x000a_DA ER fait_x000a_convention de prise de possession anticipée reçue, à signer  / attention aux enrobés_x000a_OST à évacuer_x000a_AEP coupée_x000a_"/>
    <s v="Etat"/>
    <s v="MAREL"/>
    <m/>
    <n v="8838"/>
    <n v="652080"/>
    <n v="652080"/>
    <n v="7326.7415730337079"/>
    <n v="73.78139850644942"/>
    <n v="73.78139850644942"/>
    <n v="130.6752597152751"/>
    <n v="9450.434782608696"/>
    <n v="128.08695652173913"/>
    <m/>
    <n v="78.071961982348952"/>
    <s v="UB"/>
    <n v="630"/>
    <n v="0"/>
    <x v="0"/>
    <n v="69"/>
    <n v="69"/>
    <m/>
    <n v="69"/>
    <m/>
    <m/>
    <n v="4096.6099999999997"/>
    <n v="4990.08"/>
    <n v="59.37115942028985"/>
    <n v="72.319999999999993"/>
    <n v="6.59"/>
    <n v="5.41"/>
    <n v="428.50409507760696"/>
    <n v="0.17391304347826086"/>
    <n v="0.42028985507246375"/>
    <n v="0.40579710144927539"/>
    <n v="0"/>
    <n v="0"/>
    <m/>
    <s v="SO"/>
    <n v="0"/>
    <n v="4"/>
    <s v="collectif"/>
    <s v="oui"/>
    <m/>
    <m/>
    <m/>
    <m/>
    <d v="2015-01-27T00:00:00"/>
    <m/>
    <d v="2016-04-15T00:00:00"/>
    <m/>
    <d v="2016-03-30T00:00:00"/>
    <d v="2016-04-02T00:00:00"/>
    <d v="2016-05-20T00:00:00"/>
    <n v="0.1"/>
    <s v="x"/>
    <d v="2017-06-13T00:00:00"/>
    <d v="2017-07-13T00:00:00"/>
    <n v="1"/>
    <n v="66463"/>
    <d v="2017-10-05T00:00:00"/>
    <m/>
    <d v="2017-08-01T00:00:00"/>
    <d v="2019-08-01T00:00:00"/>
    <n v="235126.41"/>
    <s v="oui"/>
    <n v="-12.433333333333334"/>
    <s v="0"/>
    <n v="235126.41"/>
    <m/>
    <m/>
    <m/>
    <s v="0"/>
    <m/>
    <m/>
    <s v="0"/>
    <m/>
    <m/>
    <s v="0"/>
    <m/>
    <m/>
    <s v="0"/>
    <m/>
    <m/>
    <s v="0"/>
    <m/>
    <m/>
    <m/>
    <m/>
    <m/>
    <m/>
    <x v="48"/>
    <x v="2"/>
    <n v="22.233333333333334"/>
    <s v="0"/>
    <n v="21"/>
    <n v="29"/>
    <d v="2018-05-30T00:00:00"/>
    <d v="2018-07-13T00:00:00"/>
    <n v="44"/>
    <d v="2018-08-03T00:00:00"/>
    <d v="2018-12-12T00:00:00"/>
    <n v="131"/>
    <d v="2019-03-05T00:00:00"/>
    <d v="2020-04-29T00:00:00"/>
    <n v="421"/>
    <d v="2019-05-30T00:00:00"/>
    <d v="2019-12-19T00:00:00"/>
    <n v="203"/>
    <d v="2019-06-07T00:00:00"/>
    <d v="2019-08-26T00:00:00"/>
    <n v="80"/>
    <d v="2019-05-17T00:00:00"/>
    <d v="2020-04-29T00:00:00"/>
    <n v="348"/>
    <d v="2019-07-01T00:00:00"/>
    <d v="2019-10-01T00:00:00"/>
    <n v="92"/>
    <m/>
    <m/>
    <m/>
    <d v="2019-10-29T00:00:00"/>
    <d v="2020-07-08T00:00:00"/>
    <n v="8.4333333333333336"/>
    <n v="2.3333333333333335"/>
    <d v="2020-12-12T00:00:00"/>
    <m/>
    <d v="2019-11-19T00:00:00"/>
    <m/>
    <m/>
    <d v="2019-11-29T00:00:00"/>
    <x v="42"/>
    <x v="8"/>
    <n v="8.4333333333333336"/>
    <n v="25392.626856423114"/>
    <n v="214144.48648916828"/>
    <n v="76177.880569269342"/>
    <n v="0"/>
    <n v="0"/>
    <m/>
    <m/>
    <n v="0"/>
    <n v="0"/>
    <m/>
    <m/>
    <m/>
    <m/>
    <d v="2020-12-12T00:00:00"/>
    <m/>
    <m/>
    <m/>
    <m/>
    <m/>
    <m/>
    <d v="2021-07-08T00:00:00"/>
    <m/>
    <m/>
    <m/>
    <m/>
    <m/>
    <m/>
    <m/>
    <m/>
    <m/>
    <m/>
    <m/>
    <m/>
    <m/>
    <m/>
    <m/>
    <n v="9262783.052752845"/>
    <n v="9262783.052752845"/>
    <n v="9262783.052752845"/>
    <n v="846823"/>
    <n v="1856.2393894993356"/>
    <n v="134243.23264859195"/>
    <n v="3079515.0527528455"/>
    <n v="2943082"/>
    <n v="44630.652938447034"/>
    <n v="5336445"/>
    <n v="746372"/>
    <n v="4590073"/>
    <n v="77339.782608695648"/>
    <m/>
    <n v="700000"/>
    <m/>
    <n v="7.5571239876115207E-2"/>
    <m/>
    <m/>
    <n v="146823"/>
    <n v="10144.927536231884"/>
    <n v="54775.580474678922"/>
    <n v="0"/>
    <n v="0"/>
    <n v="54775.580474678922"/>
    <n v="0"/>
    <n v="54775.580474678922"/>
    <n v="0.40803234095281932"/>
    <n v="0"/>
    <m/>
    <n v="0"/>
    <n v="5343428.7862384301"/>
    <n v="0.5768707693796622"/>
    <n v="3919354.2665144149"/>
    <n v="3919354.2665144149"/>
    <n v="1"/>
    <m/>
    <m/>
    <n v="0"/>
    <m/>
    <m/>
    <m/>
    <m/>
    <n v="0"/>
    <m/>
    <m/>
    <m/>
    <m/>
    <m/>
    <m/>
    <n v="0"/>
    <m/>
  </r>
  <r>
    <s v="Canal Lilis"/>
    <x v="4"/>
    <x v="2"/>
    <x v="8"/>
    <m/>
    <s v="JER"/>
    <s v="DBE"/>
    <x v="1"/>
    <m/>
    <s v="BN 1004"/>
    <s v="BN 787 / 789 n'existent plus au cadastre"/>
    <s v="SODEGIS"/>
    <s v="Esparon"/>
    <s v="29/04/1994_x000a_27/07/93"/>
    <m/>
    <m/>
    <m/>
    <m/>
    <m/>
    <m/>
    <m/>
    <m/>
    <m/>
    <m/>
    <e v="#DIV/0!"/>
    <m/>
    <m/>
    <m/>
    <x v="2"/>
    <n v="23"/>
    <n v="0"/>
    <m/>
    <m/>
    <m/>
    <n v="23"/>
    <m/>
    <m/>
    <n v="0"/>
    <n v="0"/>
    <m/>
    <m/>
    <m/>
    <m/>
    <m/>
    <m/>
    <m/>
    <m/>
    <m/>
    <m/>
    <m/>
    <m/>
    <m/>
    <m/>
    <m/>
    <m/>
    <m/>
    <m/>
    <m/>
    <m/>
    <d v="2018-07-27T00:00:00"/>
    <d v="2018-07-27T00:00:00"/>
    <d v="2018-03-30T00:00:00"/>
    <d v="2018-08-23T00:00:00"/>
    <d v="2019-02-06T00:00:00"/>
    <n v="4.8666666666666663"/>
    <s v="x"/>
    <d v="2018-10-23T00:00:00"/>
    <d v="2019-01-22T00:00:00"/>
    <n v="3.0333333333333332"/>
    <n v="91974"/>
    <d v="2019-04-22T00:00:00"/>
    <d v="2019-02-05T00:00:00"/>
    <d v="2019-05-01T00:00:00"/>
    <d v="2021-05-01T00:00:00"/>
    <n v="38208.400000000001"/>
    <m/>
    <m/>
    <m/>
    <m/>
    <m/>
    <m/>
    <m/>
    <s v="0"/>
    <d v="2017-09-29T00:00:00"/>
    <d v="2020-04-29T00:00:00"/>
    <n v="943"/>
    <d v="2017-09-08T00:00:00"/>
    <d v="2020-04-29T00:00:00"/>
    <n v="964"/>
    <d v="2017-11-28T00:00:00"/>
    <d v="2020-04-29T00:00:00"/>
    <n v="883"/>
    <d v="2018-01-26T00:00:00"/>
    <d v="2020-04-29T00:00:00"/>
    <n v="824"/>
    <m/>
    <d v="2018-10-30T00:00:00"/>
    <d v="2019-04-17T00:00:00"/>
    <d v="2020-04-29T00:00:00"/>
    <n v="378"/>
    <d v="2019-05-02T00:00:00"/>
    <x v="49"/>
    <x v="9"/>
    <n v="11"/>
    <n v="78"/>
    <n v="8"/>
    <n v="11"/>
    <m/>
    <d v="2020-04-29T00:00:00"/>
    <s v="0"/>
    <m/>
    <d v="2020-04-29T00:00:00"/>
    <s v="0"/>
    <m/>
    <d v="2020-04-29T00:00:00"/>
    <s v="0"/>
    <d v="2019-02-12T00:00:00"/>
    <d v="2020-04-29T00:00:00"/>
    <n v="442"/>
    <m/>
    <m/>
    <s v="0"/>
    <m/>
    <d v="2020-04-29T00:00:00"/>
    <s v="0"/>
    <d v="2019-04-30T00:00:00"/>
    <d v="2020-04-29T00:00:00"/>
    <n v="365"/>
    <m/>
    <m/>
    <m/>
    <d v="2020-03-11T00:00:00"/>
    <d v="2020-07-11T00:00:00"/>
    <n v="4.0666666666666664"/>
    <n v="2.4333333333333331"/>
    <d v="2022-04-29T00:00:00"/>
    <m/>
    <m/>
    <m/>
    <m/>
    <d v="2020-04-11T00:00:00"/>
    <x v="43"/>
    <x v="8"/>
    <n v="4.0666666666666664"/>
    <m/>
    <n v="0"/>
    <m/>
    <n v="0"/>
    <n v="0"/>
    <n v="37052"/>
    <m/>
    <m/>
    <n v="0"/>
    <m/>
    <m/>
    <s v="2 MOIS = COVID "/>
    <m/>
    <d v="2022-04-29T00:00:00"/>
    <m/>
    <m/>
    <m/>
    <m/>
    <m/>
    <m/>
    <d v="2021-07-11T00:00:00"/>
    <m/>
    <m/>
    <m/>
    <m/>
    <m/>
    <m/>
    <m/>
    <m/>
    <m/>
    <m/>
    <m/>
    <m/>
    <m/>
    <m/>
    <m/>
    <n v="1124636.94"/>
    <n v="1124636.94"/>
    <m/>
    <n v="159844"/>
    <e v="#DIV/0!"/>
    <n v="48897.258260869559"/>
    <m/>
    <m/>
    <n v="0"/>
    <n v="784792.94"/>
    <m/>
    <m/>
    <n v="34121.432173913039"/>
    <m/>
    <n v="115000"/>
    <m/>
    <n v="0.10225522202747493"/>
    <n v="180000"/>
    <m/>
    <n v="44844"/>
    <n v="5000"/>
    <n v="5000"/>
    <m/>
    <m/>
    <e v="#REF!"/>
    <m/>
    <n v="5000"/>
    <e v="#REF!"/>
    <m/>
    <m/>
    <m/>
    <n v="73063.454279999991"/>
    <n v="6.4966258604310115E-2"/>
    <n v="1051573.48572"/>
    <n v="1051573.48572"/>
    <n v="1"/>
    <m/>
    <n v="159844"/>
    <n v="0"/>
    <s v="OS en  attente de délivrance"/>
    <m/>
    <m/>
    <m/>
    <n v="0"/>
    <m/>
    <m/>
    <m/>
    <m/>
    <m/>
    <m/>
    <n v="0"/>
    <m/>
  </r>
  <r>
    <s v="Poinsétias"/>
    <x v="9"/>
    <x v="2"/>
    <x v="8"/>
    <m/>
    <s v="JER"/>
    <s v="NLE"/>
    <x v="8"/>
    <m/>
    <s v="AS 1450"/>
    <s v="AS 62, 63, 64, 513 v n'existent plus au cadastre"/>
    <s v="SODEGIS"/>
    <s v="HOARAU"/>
    <d v="1993-12-16T00:00:00"/>
    <m/>
    <m/>
    <m/>
    <m/>
    <m/>
    <m/>
    <m/>
    <m/>
    <m/>
    <m/>
    <e v="#DIV/0!"/>
    <m/>
    <m/>
    <m/>
    <x v="2"/>
    <n v="34"/>
    <n v="0"/>
    <m/>
    <m/>
    <m/>
    <n v="34"/>
    <m/>
    <m/>
    <n v="0"/>
    <n v="0"/>
    <m/>
    <m/>
    <m/>
    <m/>
    <m/>
    <m/>
    <m/>
    <m/>
    <m/>
    <m/>
    <m/>
    <m/>
    <m/>
    <m/>
    <m/>
    <m/>
    <m/>
    <m/>
    <m/>
    <m/>
    <d v="2018-07-27T00:00:00"/>
    <d v="2018-07-27T00:00:00"/>
    <d v="2018-03-30T00:00:00"/>
    <d v="2018-08-23T00:00:00"/>
    <d v="2019-02-06T00:00:00"/>
    <n v="4.8666666666666663"/>
    <m/>
    <d v="2018-10-23T00:00:00"/>
    <d v="2019-01-22T00:00:00"/>
    <n v="3.0333333333333332"/>
    <n v="91972"/>
    <d v="2019-04-22T00:00:00"/>
    <d v="2019-02-05T00:00:00"/>
    <d v="2019-03-01T00:00:00"/>
    <d v="2021-03-01T00:00:00"/>
    <n v="27026"/>
    <m/>
    <m/>
    <m/>
    <m/>
    <d v="2017-07-11T00:00:00"/>
    <m/>
    <m/>
    <s v="0"/>
    <d v="2017-11-28T00:00:00"/>
    <d v="2020-04-29T00:00:00"/>
    <n v="883"/>
    <d v="2017-11-07T00:00:00"/>
    <d v="2020-04-29T00:00:00"/>
    <n v="904"/>
    <d v="2018-01-26T00:00:00"/>
    <d v="2020-04-29T00:00:00"/>
    <n v="824"/>
    <d v="2018-03-28T00:00:00"/>
    <d v="2020-04-29T00:00:00"/>
    <n v="763"/>
    <m/>
    <d v="2018-10-30T00:00:00"/>
    <d v="2019-06-14T00:00:00"/>
    <d v="2020-04-29T00:00:00"/>
    <n v="320"/>
    <d v="2019-07-01T00:00:00"/>
    <x v="50"/>
    <x v="9"/>
    <n v="10.5"/>
    <n v="3"/>
    <n v="10"/>
    <n v="13"/>
    <m/>
    <d v="2020-04-29T00:00:00"/>
    <s v="0"/>
    <m/>
    <d v="2020-04-29T00:00:00"/>
    <s v="0"/>
    <m/>
    <d v="2020-04-29T00:00:00"/>
    <s v="0"/>
    <d v="2019-02-14T00:00:00"/>
    <d v="2020-04-29T00:00:00"/>
    <n v="440"/>
    <m/>
    <m/>
    <s v="0"/>
    <m/>
    <d v="2020-04-29T00:00:00"/>
    <s v="0"/>
    <d v="2019-05-02T00:00:00"/>
    <d v="2020-04-29T00:00:00"/>
    <n v="363"/>
    <m/>
    <m/>
    <m/>
    <d v="2020-05-04T00:00:00"/>
    <d v="2020-08-04T00:00:00"/>
    <n v="3.0666666666666669"/>
    <n v="3.2333333333333334"/>
    <d v="2022-04-29T00:00:00"/>
    <m/>
    <m/>
    <m/>
    <m/>
    <d v="2020-06-04T00:00:00"/>
    <x v="44"/>
    <x v="8"/>
    <n v="3.0666666666666669"/>
    <m/>
    <n v="0"/>
    <m/>
    <n v="0"/>
    <n v="0"/>
    <n v="251577"/>
    <m/>
    <m/>
    <n v="0"/>
    <m/>
    <m/>
    <s v="2 MOIS = COVID "/>
    <m/>
    <d v="2022-04-29T00:00:00"/>
    <m/>
    <m/>
    <m/>
    <m/>
    <m/>
    <m/>
    <d v="2021-08-04T00:00:00"/>
    <m/>
    <m/>
    <m/>
    <m/>
    <m/>
    <m/>
    <m/>
    <m/>
    <m/>
    <m/>
    <m/>
    <m/>
    <m/>
    <m/>
    <m/>
    <n v="1032790.2"/>
    <n v="1032790.2"/>
    <m/>
    <n v="137680"/>
    <e v="#DIV/0!"/>
    <e v="#REF!"/>
    <m/>
    <m/>
    <n v="0"/>
    <n v="555110.19999999995"/>
    <m/>
    <m/>
    <n v="16326.770588235293"/>
    <m/>
    <n v="136000"/>
    <m/>
    <n v="0.13168211704564975"/>
    <n v="340000"/>
    <m/>
    <n v="1680"/>
    <n v="4000"/>
    <n v="4000"/>
    <m/>
    <m/>
    <e v="#REF!"/>
    <m/>
    <n v="4000"/>
    <e v="#REF!"/>
    <m/>
    <m/>
    <m/>
    <n v="77547.36976999999"/>
    <n v="7.5085307519378086E-2"/>
    <n v="955242.83022999996"/>
    <n v="955242.83022999996"/>
    <n v="1"/>
    <m/>
    <n v="137680"/>
    <n v="0"/>
    <m/>
    <m/>
    <m/>
    <m/>
    <n v="0"/>
    <m/>
    <m/>
    <m/>
    <m/>
    <m/>
    <m/>
    <n v="0"/>
    <m/>
  </r>
  <r>
    <s v="Bellevue A-B-C"/>
    <x v="2"/>
    <x v="2"/>
    <x v="8"/>
    <m/>
    <s v="JER"/>
    <s v="NLE"/>
    <x v="8"/>
    <m/>
    <s v="BW 2862"/>
    <s v="Acte sur BW 1750 / 1752 / 1789_x000a_manque les justificatifs sur les autres parcelles"/>
    <s v="SODEGIS"/>
    <s v="Poudroux"/>
    <d v="1995-08-01T00:00:00"/>
    <m/>
    <m/>
    <m/>
    <m/>
    <m/>
    <m/>
    <m/>
    <m/>
    <m/>
    <m/>
    <e v="#DIV/0!"/>
    <m/>
    <m/>
    <m/>
    <x v="2"/>
    <n v="128"/>
    <n v="0"/>
    <m/>
    <m/>
    <m/>
    <n v="128"/>
    <m/>
    <m/>
    <n v="0"/>
    <n v="0"/>
    <m/>
    <m/>
    <m/>
    <m/>
    <m/>
    <m/>
    <m/>
    <m/>
    <m/>
    <m/>
    <m/>
    <m/>
    <m/>
    <m/>
    <m/>
    <m/>
    <m/>
    <m/>
    <m/>
    <m/>
    <d v="2018-07-27T00:00:00"/>
    <d v="2018-07-27T00:00:00"/>
    <d v="2018-03-30T00:00:00"/>
    <d v="2018-11-30T00:00:00"/>
    <d v="2019-02-06T00:00:00"/>
    <n v="8.1666666666666661"/>
    <s v="x"/>
    <d v="2018-07-30T00:00:00"/>
    <d v="2019-05-23T00:00:00"/>
    <n v="9.9"/>
    <n v="96964"/>
    <d v="2019-08-23T00:00:00"/>
    <d v="2019-05-23T00:00:00"/>
    <d v="2019-05-23T00:00:00"/>
    <d v="2021-05-23T00:00:00"/>
    <m/>
    <m/>
    <m/>
    <m/>
    <m/>
    <d v="2017-07-19T00:00:00"/>
    <m/>
    <m/>
    <s v="0"/>
    <d v="2017-10-30T00:00:00"/>
    <d v="2020-04-29T00:00:00"/>
    <n v="912"/>
    <d v="2017-10-09T00:00:00"/>
    <d v="2020-04-29T00:00:00"/>
    <n v="933"/>
    <d v="2017-12-29T00:00:00"/>
    <d v="2020-04-29T00:00:00"/>
    <n v="852"/>
    <d v="2018-02-27T00:00:00"/>
    <d v="2020-04-29T00:00:00"/>
    <n v="792"/>
    <m/>
    <d v="2018-10-30T00:00:00"/>
    <d v="2019-05-17T00:00:00"/>
    <d v="2020-04-29T00:00:00"/>
    <n v="348"/>
    <d v="2019-05-31T00:00:00"/>
    <x v="51"/>
    <x v="9"/>
    <n v="7.8"/>
    <n v="52"/>
    <n v="12"/>
    <n v="15"/>
    <m/>
    <d v="2020-04-29T00:00:00"/>
    <s v="0"/>
    <m/>
    <d v="2020-04-29T00:00:00"/>
    <s v="0"/>
    <m/>
    <d v="2020-04-29T00:00:00"/>
    <s v="0"/>
    <d v="2019-02-11T00:00:00"/>
    <d v="2020-04-29T00:00:00"/>
    <n v="443"/>
    <m/>
    <m/>
    <s v="0"/>
    <m/>
    <d v="2020-04-29T00:00:00"/>
    <s v="0"/>
    <d v="2019-04-29T00:00:00"/>
    <d v="2020-04-29T00:00:00"/>
    <n v="366"/>
    <m/>
    <m/>
    <m/>
    <d v="2020-07-22T00:00:00"/>
    <d v="2020-10-22T00:00:00"/>
    <n v="3.0666666666666669"/>
    <n v="5.8666666666666663"/>
    <d v="2022-04-29T00:00:00"/>
    <m/>
    <m/>
    <m/>
    <m/>
    <d v="2020-08-22T00:00:00"/>
    <x v="45"/>
    <x v="8"/>
    <n v="3.0666666666666669"/>
    <m/>
    <n v="0"/>
    <m/>
    <n v="0"/>
    <n v="0"/>
    <n v="356938"/>
    <m/>
    <m/>
    <n v="0"/>
    <m/>
    <m/>
    <s v="2 MOIS = COVID "/>
    <m/>
    <d v="2022-04-29T00:00:00"/>
    <m/>
    <m/>
    <m/>
    <m/>
    <m/>
    <m/>
    <d v="2021-10-22T00:00:00"/>
    <m/>
    <m/>
    <m/>
    <m/>
    <m/>
    <m/>
    <m/>
    <m/>
    <m/>
    <m/>
    <m/>
    <m/>
    <m/>
    <m/>
    <m/>
    <n v="3625157.8000000003"/>
    <n v="3625157.8000000003"/>
    <m/>
    <n v="657745.55999999994"/>
    <e v="#DIV/0!"/>
    <n v="28321.545312500002"/>
    <m/>
    <m/>
    <n v="0"/>
    <n v="2287412.2400000002"/>
    <m/>
    <m/>
    <n v="17870.408125000002"/>
    <m/>
    <n v="655705.55999999994"/>
    <m/>
    <n v="0.18087641867617457"/>
    <n v="680000"/>
    <m/>
    <n v="2040"/>
    <n v="5122.6996874999995"/>
    <n v="5122.6996874999995"/>
    <m/>
    <m/>
    <e v="#REF!"/>
    <m/>
    <n v="5122.6996874999995"/>
    <e v="#REF!"/>
    <m/>
    <m/>
    <m/>
    <n v="239678.49416999996"/>
    <n v="6.6115327219686812E-2"/>
    <n v="3385479.3058300004"/>
    <n v="3385479.3058300004"/>
    <n v="1"/>
    <m/>
    <n v="657745.55999999994"/>
    <n v="0"/>
    <s v="OS en  attente de délivrance"/>
    <m/>
    <m/>
    <m/>
    <n v="0"/>
    <m/>
    <m/>
    <m/>
    <m/>
    <m/>
    <m/>
    <n v="0"/>
    <m/>
  </r>
  <r>
    <s v="Californie"/>
    <x v="2"/>
    <x v="2"/>
    <x v="2"/>
    <s v="PRLC 0186"/>
    <s v="YFR"/>
    <s v="DBA"/>
    <x v="1"/>
    <m/>
    <s v="EK 286"/>
    <s v="Avenant EPFR signé_x000a_Convention avec riverain signée"/>
    <m/>
    <m/>
    <m/>
    <n v="1976"/>
    <n v="300000"/>
    <m/>
    <n v="12500"/>
    <n v="151.82186234817814"/>
    <n v="0"/>
    <n v="0"/>
    <n v="0"/>
    <n v="82.333333333333329"/>
    <m/>
    <n v="121.4574898785425"/>
    <s v="UB"/>
    <n v="590"/>
    <m/>
    <x v="0"/>
    <n v="24"/>
    <n v="24"/>
    <m/>
    <n v="24"/>
    <m/>
    <m/>
    <n v="1539.6699999999996"/>
    <n v="1796.56"/>
    <n v="64.152916666666655"/>
    <n v="74.856666666666669"/>
    <n v="6.31"/>
    <n v="5.41"/>
    <n v="404.62"/>
    <n v="0.125"/>
    <n v="0.375"/>
    <n v="0.25"/>
    <n v="0.125"/>
    <n v="0.125"/>
    <m/>
    <s v="SO"/>
    <m/>
    <n v="4"/>
    <s v="collectif"/>
    <s v="oui"/>
    <m/>
    <m/>
    <m/>
    <m/>
    <d v="2017-01-26T00:00:00"/>
    <m/>
    <m/>
    <m/>
    <d v="2017-03-30T00:00:00"/>
    <d v="2017-06-30T00:00:00"/>
    <d v="2017-10-02T00:00:00"/>
    <n v="3.0666666666666669"/>
    <s v="x"/>
    <d v="2018-06-28T00:00:00"/>
    <d v="2018-09-13T00:00:00"/>
    <n v="2.5666666666666669"/>
    <n v="86771"/>
    <d v="2018-12-06T00:00:00"/>
    <d v="2018-10-12T00:00:00"/>
    <d v="2019-01-01T00:00:00"/>
    <d v="2021-01-01T00:00:00"/>
    <n v="60415"/>
    <s v="non"/>
    <n v="6.6666666666666666E-2"/>
    <n v="647.20000000000005"/>
    <n v="59767.8"/>
    <d v="2016-08-01T00:00:00"/>
    <d v="2016-08-16T00:00:00"/>
    <d v="2016-08-01T00:00:00"/>
    <n v="-15"/>
    <d v="2016-11-18T00:00:00"/>
    <d v="2016-11-21T00:00:00"/>
    <n v="3"/>
    <d v="2017-01-18T00:00:00"/>
    <d v="2017-01-16T00:00:00"/>
    <n v="-2"/>
    <d v="2017-04-04T00:00:00"/>
    <d v="2017-12-14T00:00:00"/>
    <n v="254"/>
    <d v="2017-06-19T00:00:00"/>
    <d v="2018-03-30T00:00:00"/>
    <n v="284"/>
    <m/>
    <d v="2018-10-30T00:00:00"/>
    <d v="2018-02-23T00:00:00"/>
    <d v="2019-03-22T00:00:00"/>
    <n v="392"/>
    <d v="2018-03-08T00:00:00"/>
    <x v="52"/>
    <x v="9"/>
    <n v="22.3"/>
    <n v="418"/>
    <n v="16"/>
    <n v="19"/>
    <d v="2019-06-15T00:00:00"/>
    <d v="2020-04-29T00:00:00"/>
    <n v="319"/>
    <d v="2019-09-02T00:00:00"/>
    <d v="2019-10-01T00:00:00"/>
    <n v="29"/>
    <d v="2020-02-28T00:00:00"/>
    <d v="2020-04-29T00:00:00"/>
    <n v="61"/>
    <d v="2020-03-12T00:00:00"/>
    <d v="2020-04-29T00:00:00"/>
    <n v="48"/>
    <d v="2020-02-24T00:00:00"/>
    <d v="2020-04-29T00:00:00"/>
    <n v="65"/>
    <d v="2020-03-17T00:00:00"/>
    <d v="2020-04-29T00:00:00"/>
    <n v="43"/>
    <d v="2020-07-27T00:00:00"/>
    <d v="2020-07-27T00:00:00"/>
    <n v="0"/>
    <m/>
    <m/>
    <m/>
    <d v="2020-08-30T00:00:00"/>
    <d v="2020-11-30T00:00:00"/>
    <n v="3.0666666666666669"/>
    <n v="7.166666666666667"/>
    <d v="2021-10-01T00:00:00"/>
    <m/>
    <d v="2019-11-19T00:00:00"/>
    <m/>
    <m/>
    <d v="2020-09-30T00:00:00"/>
    <x v="46"/>
    <x v="8"/>
    <n v="3.0333333333333332"/>
    <n v="9708"/>
    <n v="29447.599999999999"/>
    <n v="29124"/>
    <n v="0"/>
    <n v="0"/>
    <n v="197331.09"/>
    <n v="181376"/>
    <m/>
    <n v="0"/>
    <m/>
    <m/>
    <s v="2 MOIS = COVID "/>
    <m/>
    <d v="2021-10-01T00:00:00"/>
    <m/>
    <m/>
    <m/>
    <m/>
    <m/>
    <m/>
    <d v="2021-11-30T00:00:00"/>
    <m/>
    <m/>
    <m/>
    <m/>
    <m/>
    <m/>
    <m/>
    <m/>
    <m/>
    <m/>
    <m/>
    <m/>
    <m/>
    <m/>
    <m/>
    <n v="4021476.4246152649"/>
    <n v="4021476.4246152649"/>
    <n v="4021476.4246152649"/>
    <n v="577062"/>
    <n v="2238.4314604662604"/>
    <n v="167561.5176923027"/>
    <n v="1237310.4246152646"/>
    <n v="1306948"/>
    <n v="51554.601025636024"/>
    <n v="2207104"/>
    <n v="444360"/>
    <n v="1762744"/>
    <n v="91962.666666666672"/>
    <m/>
    <n v="480000"/>
    <m/>
    <n v="0.11935914806361737"/>
    <m/>
    <m/>
    <n v="97062"/>
    <n v="20000"/>
    <n v="71554.601025636031"/>
    <m/>
    <m/>
    <n v="71554.601025636031"/>
    <m/>
    <n v="71554.601025636031"/>
    <n v="0.42703481092259787"/>
    <m/>
    <m/>
    <n v="0"/>
    <n v="625425"/>
    <n v="0.15552123995351644"/>
    <n v="3396051.4246152649"/>
    <n v="3396051.4246152649"/>
    <n v="1"/>
    <n v="822763.41999999993"/>
    <n v="-245701.41999999993"/>
    <n v="1.4257799335253403"/>
    <m/>
    <m/>
    <m/>
    <m/>
    <n v="0"/>
    <m/>
    <m/>
    <m/>
    <m/>
    <m/>
    <m/>
    <n v="0"/>
    <m/>
  </r>
  <r>
    <s v="Fourragères "/>
    <x v="11"/>
    <x v="0"/>
    <x v="2"/>
    <s v="PRLC 0184"/>
    <s v="TQU"/>
    <s v="MMA"/>
    <x v="1"/>
    <m/>
    <s v="AD 133 / 132"/>
    <s v="avenant 1 EPFR  signé - acquisition à mai 2018"/>
    <m/>
    <m/>
    <m/>
    <n v="5443"/>
    <n v="381010"/>
    <n v="381010"/>
    <n v="18143.333333333332"/>
    <n v="70"/>
    <n v="70"/>
    <n v="238.72208716573519"/>
    <n v="18143.333333333332"/>
    <n v="259.1904761904762"/>
    <m/>
    <n v="38.58166452324086"/>
    <s v="UD"/>
    <n v="900"/>
    <m/>
    <x v="0"/>
    <n v="21"/>
    <n v="21"/>
    <m/>
    <n v="21"/>
    <m/>
    <m/>
    <n v="1596.04"/>
    <n v="1596.04"/>
    <n v="76.001904761904754"/>
    <n v="76.001904761904754"/>
    <n v="5.34"/>
    <n v="5.34"/>
    <n v="406.06"/>
    <m/>
    <m/>
    <m/>
    <m/>
    <m/>
    <m/>
    <m/>
    <m/>
    <m/>
    <s v="MDV"/>
    <s v="non"/>
    <m/>
    <m/>
    <m/>
    <m/>
    <d v="2017-01-26T00:00:00"/>
    <m/>
    <m/>
    <m/>
    <d v="2017-03-30T00:00:00"/>
    <d v="2017-10-09T00:00:00"/>
    <d v="2017-11-06T00:00:00"/>
    <n v="6.4333333333333336"/>
    <s v="x"/>
    <d v="2018-03-09T00:00:00"/>
    <d v="2018-05-29T00:00:00"/>
    <n v="2.7"/>
    <n v="78391"/>
    <d v="2018-08-29T00:00:00"/>
    <m/>
    <d v="2018-09-01T00:00:00"/>
    <d v="2020-09-01T00:00:00"/>
    <n v="86976"/>
    <s v="oui"/>
    <n v="-4.0666666666666664"/>
    <s v="0"/>
    <n v="86976"/>
    <m/>
    <m/>
    <m/>
    <s v="0"/>
    <m/>
    <m/>
    <s v="0"/>
    <m/>
    <m/>
    <s v="0"/>
    <m/>
    <m/>
    <s v="0"/>
    <m/>
    <m/>
    <s v="0"/>
    <m/>
    <m/>
    <m/>
    <d v="2019-03-21T00:00:00"/>
    <m/>
    <m/>
    <x v="53"/>
    <x v="9"/>
    <n v="17.966666666666665"/>
    <s v="0"/>
    <n v="17"/>
    <n v="21"/>
    <d v="2019-06-14T00:00:00"/>
    <d v="2020-04-29T00:00:00"/>
    <n v="320"/>
    <d v="2019-10-09T00:00:00"/>
    <d v="2020-04-29T00:00:00"/>
    <n v="203"/>
    <d v="2020-01-30T00:00:00"/>
    <d v="2020-04-29T00:00:00"/>
    <n v="90"/>
    <d v="2020-04-29T00:00:00"/>
    <d v="2020-04-29T00:00:00"/>
    <n v="0"/>
    <d v="2020-04-29T00:00:00"/>
    <d v="2020-04-29T00:00:00"/>
    <n v="0"/>
    <d v="2020-03-18T00:00:00"/>
    <d v="2020-04-29T00:00:00"/>
    <n v="42"/>
    <d v="2020-08-20T00:00:00"/>
    <d v="2020-08-20T00:00:00"/>
    <n v="0"/>
    <m/>
    <m/>
    <m/>
    <d v="2020-09-01T00:00:00"/>
    <d v="2021-01-01T00:00:00"/>
    <n v="4.0666666666666664"/>
    <n v="8.2333333333333325"/>
    <d v="2022-04-29T00:00:00"/>
    <m/>
    <d v="2019-11-19T00:00:00"/>
    <m/>
    <m/>
    <d v="2020-10-01T00:00:00"/>
    <x v="47"/>
    <x v="8"/>
    <n v="3.0666666666666669"/>
    <n v="8523"/>
    <n v="26137.200000000001"/>
    <n v="25569"/>
    <n v="200000"/>
    <n v="0"/>
    <m/>
    <m/>
    <m/>
    <n v="0"/>
    <m/>
    <m/>
    <s v="2 MOIS = COVID "/>
    <m/>
    <d v="2022-04-29T00:00:00"/>
    <m/>
    <m/>
    <m/>
    <m/>
    <m/>
    <m/>
    <d v="2022-01-01T00:00:00"/>
    <m/>
    <m/>
    <m/>
    <m/>
    <m/>
    <m/>
    <m/>
    <m/>
    <m/>
    <m/>
    <m/>
    <m/>
    <m/>
    <m/>
    <m/>
    <n v="3951182.3902774607"/>
    <n v="3951182.3902774607"/>
    <n v="3951182.3902774607"/>
    <n v="721294.94"/>
    <n v="2475.6161438795148"/>
    <n v="188151.5423941648"/>
    <n v="1199988.4502774607"/>
    <n v="1158434"/>
    <n v="57142.307156069561"/>
    <n v="2029899"/>
    <n v="598878"/>
    <n v="1431021"/>
    <n v="96661.857142857145"/>
    <m/>
    <n v="504000"/>
    <m/>
    <n v="0.1275567539580495"/>
    <m/>
    <m/>
    <n v="217294.94"/>
    <n v="24000"/>
    <n v="81142.307156069553"/>
    <m/>
    <m/>
    <n v="81142.307156069553"/>
    <m/>
    <n v="81142.307156069553"/>
    <n v="0.4312603878956352"/>
    <m/>
    <m/>
    <n v="0"/>
    <n v="850065.93600999995"/>
    <n v="0.21514216557092583"/>
    <n v="3101116.4542674609"/>
    <n v="3013230.5628509745"/>
    <n v="0.97775706542103846"/>
    <n v="1735795.5699999998"/>
    <n v="-1014500.6299999999"/>
    <n v="2.4064990252115175"/>
    <m/>
    <m/>
    <m/>
    <m/>
    <n v="0"/>
    <m/>
    <m/>
    <m/>
    <m/>
    <m/>
    <m/>
    <n v="0"/>
    <m/>
  </r>
  <r>
    <s v="Opale (ILOT 9)"/>
    <x v="7"/>
    <x v="0"/>
    <x v="8"/>
    <s v="PRLC 0197"/>
    <s v="MTG"/>
    <s v="DBE"/>
    <x v="1"/>
    <m/>
    <m/>
    <m/>
    <m/>
    <m/>
    <m/>
    <n v="1627"/>
    <n v="154050"/>
    <n v="154050"/>
    <e v="#DIV/0!"/>
    <n v="94.683466502765825"/>
    <n v="94.683466502765825"/>
    <n v="98.772477070102497"/>
    <n v="9061.7647058823532"/>
    <n v="95.705882352941174"/>
    <m/>
    <n v="104.48678549477566"/>
    <m/>
    <m/>
    <m/>
    <x v="1"/>
    <n v="17"/>
    <n v="17"/>
    <n v="17"/>
    <m/>
    <m/>
    <m/>
    <n v="1353.27"/>
    <n v="1559.645"/>
    <n v="79.604117647058828"/>
    <n v="91.74382352941177"/>
    <n v="7.36"/>
    <n v="6.39"/>
    <n v="586.03"/>
    <m/>
    <n v="0.23529411764705882"/>
    <n v="0.35294117647058826"/>
    <n v="0.29411764705882354"/>
    <n v="0.11764705882352941"/>
    <m/>
    <m/>
    <m/>
    <m/>
    <s v="collectif"/>
    <s v="oui"/>
    <m/>
    <m/>
    <m/>
    <m/>
    <d v="2017-08-31T00:00:00"/>
    <m/>
    <d v="2018-07-27T00:00:00"/>
    <d v="2018-07-27T00:00:00"/>
    <d v="2018-03-30T00:00:00"/>
    <d v="2018-08-22T00:00:00"/>
    <m/>
    <n v="4.833333333333333"/>
    <s v="x"/>
    <d v="2018-09-04T00:00:00"/>
    <d v="2019-01-22T00:00:00"/>
    <n v="4.666666666666667"/>
    <m/>
    <d v="2019-04-22T00:00:00"/>
    <m/>
    <d v="2019-05-01T00:00:00"/>
    <d v="2021-05-01T00:00:00"/>
    <n v="90998.060000000012"/>
    <s v="non"/>
    <n v="0.76666666666666672"/>
    <n v="7640.6"/>
    <n v="83357.460000000006"/>
    <m/>
    <m/>
    <m/>
    <s v="0"/>
    <m/>
    <m/>
    <s v="0"/>
    <m/>
    <m/>
    <s v="0"/>
    <m/>
    <m/>
    <s v="0"/>
    <m/>
    <m/>
    <s v="0"/>
    <m/>
    <m/>
    <m/>
    <m/>
    <s v="0"/>
    <m/>
    <x v="54"/>
    <x v="9"/>
    <n v="13.466666666666667"/>
    <s v="0"/>
    <n v="14"/>
    <n v="18"/>
    <d v="2019-09-24T00:00:00"/>
    <d v="2020-04-29T00:00:00"/>
    <n v="218"/>
    <d v="2019-11-24T00:00:00"/>
    <d v="2020-04-29T00:00:00"/>
    <n v="157"/>
    <m/>
    <d v="2020-04-29T00:00:00"/>
    <s v="0"/>
    <d v="2019-02-16T00:00:00"/>
    <d v="2020-04-29T00:00:00"/>
    <n v="438"/>
    <m/>
    <m/>
    <s v="0"/>
    <m/>
    <d v="2020-04-29T00:00:00"/>
    <s v="0"/>
    <d v="2019-05-04T00:00:00"/>
    <d v="2020-04-29T00:00:00"/>
    <n v="361"/>
    <m/>
    <m/>
    <m/>
    <d v="2020-11-30T00:00:00"/>
    <d v="2021-04-08T00:00:00"/>
    <n v="4.3"/>
    <n v="11.466666666666667"/>
    <d v="2022-04-29T00:00:00"/>
    <m/>
    <d v="2019-09-18T00:00:00"/>
    <m/>
    <m/>
    <d v="2020-12-30T00:00:00"/>
    <x v="48"/>
    <x v="8"/>
    <n v="3.3"/>
    <n v="9966"/>
    <n v="32887.799999999996"/>
    <n v="29898"/>
    <n v="0"/>
    <n v="0"/>
    <n v="83574"/>
    <m/>
    <m/>
    <n v="0"/>
    <m/>
    <m/>
    <s v="2 MOIS = COVID "/>
    <s v="marchés en cours de notifications"/>
    <d v="2022-04-29T00:00:00"/>
    <m/>
    <m/>
    <m/>
    <m/>
    <m/>
    <m/>
    <d v="2022-04-08T00:00:00"/>
    <m/>
    <m/>
    <m/>
    <m/>
    <m/>
    <m/>
    <m/>
    <m/>
    <m/>
    <m/>
    <m/>
    <m/>
    <m/>
    <m/>
    <m/>
    <n v="3288296.2073351205"/>
    <n v="3288296.2073351205"/>
    <n v="3288296.2073351205"/>
    <n v="327200"/>
    <n v="2108.3619716891476"/>
    <n v="193429.18866677181"/>
    <n v="1044500.2073351206"/>
    <n v="958221"/>
    <n v="61441.188666771806"/>
    <n v="1806096"/>
    <n v="267301"/>
    <n v="1538795"/>
    <n v="106240.94117647059"/>
    <m/>
    <n v="323000"/>
    <m/>
    <n v="9.8227160703920749E-2"/>
    <n v="110500"/>
    <m/>
    <n v="4200"/>
    <n v="19000"/>
    <n v="80441.188666771792"/>
    <m/>
    <m/>
    <n v="80441.188666771792"/>
    <m/>
    <n v="80441.188666771792"/>
    <n v="0.41586892454660013"/>
    <m/>
    <m/>
    <n v="0"/>
    <n v="407571.44828999997"/>
    <n v="0.12394608715019056"/>
    <n v="2880724.7590451203"/>
    <n v="400000"/>
    <n v="0.2455896298175847"/>
    <n v="0"/>
    <n v="327200"/>
    <n v="0"/>
    <s v="1e situation GO et VRD"/>
    <m/>
    <m/>
    <m/>
    <n v="0"/>
    <m/>
    <m/>
    <m/>
    <m/>
    <m/>
    <m/>
    <n v="0"/>
    <m/>
  </r>
  <r>
    <s v="La Cure"/>
    <x v="4"/>
    <x v="2"/>
    <x v="8"/>
    <m/>
    <s v="JER"/>
    <s v="NLE"/>
    <x v="8"/>
    <m/>
    <s v="BN 781"/>
    <s v="manque les autres parcelles"/>
    <s v="SODEGIS"/>
    <s v="LAGOURGUE"/>
    <d v="1993-01-25T00:00:00"/>
    <m/>
    <m/>
    <m/>
    <m/>
    <m/>
    <m/>
    <m/>
    <m/>
    <m/>
    <m/>
    <e v="#DIV/0!"/>
    <m/>
    <m/>
    <m/>
    <x v="2"/>
    <n v="30"/>
    <n v="0"/>
    <m/>
    <m/>
    <m/>
    <n v="30"/>
    <m/>
    <m/>
    <n v="0"/>
    <n v="0"/>
    <m/>
    <m/>
    <m/>
    <m/>
    <m/>
    <m/>
    <m/>
    <m/>
    <m/>
    <m/>
    <m/>
    <m/>
    <m/>
    <m/>
    <m/>
    <m/>
    <m/>
    <m/>
    <m/>
    <m/>
    <d v="2018-07-27T00:00:00"/>
    <d v="2018-07-27T00:00:00"/>
    <d v="2018-03-30T00:00:00"/>
    <d v="2018-08-23T00:00:00"/>
    <d v="2019-02-06T00:00:00"/>
    <n v="4.8666666666666663"/>
    <s v="x"/>
    <d v="2018-10-23T00:00:00"/>
    <d v="2019-01-22T00:00:00"/>
    <n v="3.0333333333333332"/>
    <n v="91965"/>
    <d v="2019-04-22T00:00:00"/>
    <d v="2019-02-05T00:00:00"/>
    <d v="2019-05-01T00:00:00"/>
    <d v="2021-05-01T00:00:00"/>
    <n v="31121.89"/>
    <m/>
    <m/>
    <m/>
    <m/>
    <m/>
    <m/>
    <m/>
    <s v="0"/>
    <d v="2017-08-22T00:00:00"/>
    <d v="2020-04-29T00:00:00"/>
    <n v="981"/>
    <d v="2017-08-01T00:00:00"/>
    <d v="2020-04-29T00:00:00"/>
    <n v="1002"/>
    <d v="2017-10-20T00:00:00"/>
    <d v="2020-04-29T00:00:00"/>
    <n v="922"/>
    <d v="2017-12-20T00:00:00"/>
    <d v="2020-04-29T00:00:00"/>
    <n v="861"/>
    <m/>
    <d v="2018-10-30T00:00:00"/>
    <d v="2019-03-08T00:00:00"/>
    <d v="2020-04-29T00:00:00"/>
    <n v="418"/>
    <d v="2019-03-25T00:00:00"/>
    <x v="55"/>
    <x v="10"/>
    <n v="17.933333333333334"/>
    <n v="324"/>
    <n v="10"/>
    <n v="13"/>
    <m/>
    <d v="2020-04-29T00:00:00"/>
    <s v="0"/>
    <m/>
    <d v="2020-04-29T00:00:00"/>
    <s v="0"/>
    <m/>
    <d v="2020-04-29T00:00:00"/>
    <s v="0"/>
    <d v="2019-02-13T00:00:00"/>
    <d v="2020-04-29T00:00:00"/>
    <n v="441"/>
    <m/>
    <m/>
    <s v="0"/>
    <m/>
    <d v="2020-04-29T00:00:00"/>
    <s v="0"/>
    <d v="2019-05-01T00:00:00"/>
    <d v="2020-04-29T00:00:00"/>
    <n v="364"/>
    <m/>
    <m/>
    <m/>
    <d v="2020-12-12T00:00:00"/>
    <d v="2021-03-15T00:00:00"/>
    <n v="3.1"/>
    <n v="10.666666666666666"/>
    <d v="2022-04-29T00:00:00"/>
    <m/>
    <m/>
    <m/>
    <m/>
    <d v="2021-01-12T00:00:00"/>
    <x v="49"/>
    <x v="8"/>
    <n v="3.1"/>
    <m/>
    <n v="0"/>
    <m/>
    <n v="0"/>
    <n v="0"/>
    <n v="200012"/>
    <m/>
    <m/>
    <n v="0"/>
    <m/>
    <m/>
    <s v="2 MOIS = COVID "/>
    <s v="marchés en cours de notifications"/>
    <d v="2022-04-29T00:00:00"/>
    <m/>
    <m/>
    <m/>
    <m/>
    <m/>
    <m/>
    <d v="2022-03-15T00:00:00"/>
    <m/>
    <m/>
    <m/>
    <m/>
    <m/>
    <m/>
    <m/>
    <m/>
    <m/>
    <m/>
    <m/>
    <m/>
    <m/>
    <m/>
    <m/>
    <n v="1019489.68"/>
    <n v="1019489.68"/>
    <m/>
    <n v="151920"/>
    <e v="#DIV/0!"/>
    <n v="33982.989333333338"/>
    <m/>
    <m/>
    <n v="0"/>
    <n v="617569.68000000005"/>
    <m/>
    <m/>
    <n v="20585.656000000003"/>
    <m/>
    <n v="150000"/>
    <m/>
    <n v="0.14713243590656061"/>
    <n v="250000"/>
    <m/>
    <n v="1920"/>
    <n v="5000"/>
    <n v="5000"/>
    <m/>
    <m/>
    <e v="#REF!"/>
    <m/>
    <n v="5000"/>
    <e v="#REF!"/>
    <m/>
    <m/>
    <m/>
    <n v="102326.36590999999"/>
    <n v="0.10037018315869563"/>
    <n v="917163.31409"/>
    <n v="687872.4855675"/>
    <n v="0.7750925457896739"/>
    <m/>
    <n v="151920"/>
    <n v="0"/>
    <s v="OS en  attente de délivrance"/>
    <m/>
    <m/>
    <m/>
    <n v="0"/>
    <m/>
    <m/>
    <m/>
    <m/>
    <m/>
    <m/>
    <n v="0"/>
    <m/>
  </r>
  <r>
    <s v="RPA DU PARC"/>
    <x v="4"/>
    <x v="2"/>
    <x v="6"/>
    <s v="PRLC 0176"/>
    <s v="FHO"/>
    <s v="SRI"/>
    <x v="1"/>
    <m/>
    <s v="BO 206-352"/>
    <s v="compromis vente signé prend fin fin mars 2017 / à proroger à juillet 2019"/>
    <m/>
    <m/>
    <m/>
    <n v="2872"/>
    <n v="516960"/>
    <n v="516960"/>
    <n v="12924"/>
    <n v="180"/>
    <n v="180"/>
    <n v="220.70237454852838"/>
    <n v="12924"/>
    <n v="71.8"/>
    <m/>
    <n v="139.27576601671308"/>
    <m/>
    <m/>
    <m/>
    <x v="0"/>
    <n v="40"/>
    <n v="40"/>
    <m/>
    <n v="40"/>
    <m/>
    <m/>
    <n v="2318.6500000000005"/>
    <n v="2342.34"/>
    <n v="57.966250000000016"/>
    <n v="58.558500000000002"/>
    <n v="5.85"/>
    <n v="5.79"/>
    <n v="339.25"/>
    <m/>
    <n v="0.92500000000000004"/>
    <n v="0.05"/>
    <n v="2.5000000000000001E-2"/>
    <m/>
    <m/>
    <m/>
    <m/>
    <n v="3"/>
    <s v="collectif"/>
    <s v="non"/>
    <m/>
    <m/>
    <m/>
    <m/>
    <d v="2015-11-06T00:00:00"/>
    <m/>
    <d v="2016-04-15T00:00:00"/>
    <m/>
    <d v="2016-03-30T00:00:00"/>
    <d v="2016-09-16T00:00:00"/>
    <d v="2016-10-14T00:00:00"/>
    <n v="5.666666666666667"/>
    <s v="x"/>
    <d v="2018-05-21T00:00:00"/>
    <d v="2018-09-25T00:00:00"/>
    <n v="4.2333333333333334"/>
    <n v="87781"/>
    <d v="2018-12-06T00:00:00"/>
    <m/>
    <d v="2019-01-01T00:00:00"/>
    <d v="2021-01-01T00:00:00"/>
    <n v="76363"/>
    <s v="oui"/>
    <n v="-4.9666666666666668"/>
    <s v="0"/>
    <n v="76363"/>
    <m/>
    <m/>
    <m/>
    <s v="0"/>
    <m/>
    <m/>
    <s v="0"/>
    <m/>
    <d v="2016-10-24T00:00:00"/>
    <s v="0"/>
    <m/>
    <d v="2017-07-11T00:00:00"/>
    <s v="0"/>
    <m/>
    <d v="2018-05-02T00:00:00"/>
    <s v="0"/>
    <m/>
    <d v="2019-06-03T00:00:00"/>
    <d v="2019-08-03T00:00:00"/>
    <d v="2019-09-11T00:00:00"/>
    <n v="39"/>
    <d v="2019-08-16T00:00:00"/>
    <x v="54"/>
    <x v="9"/>
    <n v="36.966666666666669"/>
    <n v="45"/>
    <n v="16"/>
    <n v="19"/>
    <d v="2019-12-02T00:00:00"/>
    <d v="2020-04-29T00:00:00"/>
    <n v="149"/>
    <d v="2020-03-06T00:00:00"/>
    <d v="2020-03-12T00:00:00"/>
    <n v="6"/>
    <d v="2020-07-10T00:00:00"/>
    <d v="2020-07-10T00:00:00"/>
    <n v="0"/>
    <d v="2020-08-28T00:00:00"/>
    <d v="2020-08-28T00:00:00"/>
    <n v="0"/>
    <d v="2020-08-21T00:00:00"/>
    <m/>
    <s v="0"/>
    <d v="2020-10-09T00:00:00"/>
    <d v="2020-10-09T00:00:00"/>
    <n v="0"/>
    <d v="2020-09-25T00:00:00"/>
    <d v="2020-09-25T00:00:00"/>
    <n v="0"/>
    <d v="2020-10-09T00:00:00"/>
    <d v="2020-10-09T00:00:00"/>
    <d v="2020-12-04T00:00:00"/>
    <d v="2021-01-30T00:00:00"/>
    <d v="2021-04-30T00:00:00"/>
    <n v="3"/>
    <n v="12.2"/>
    <d v="2022-03-12T00:00:00"/>
    <m/>
    <m/>
    <m/>
    <m/>
    <d v="2021-03-02T00:00:00"/>
    <x v="50"/>
    <x v="8"/>
    <n v="2.9666666666666668"/>
    <n v="13586"/>
    <n v="40305.133333333331"/>
    <n v="40758"/>
    <n v="0"/>
    <n v="0"/>
    <m/>
    <m/>
    <m/>
    <n v="0"/>
    <m/>
    <m/>
    <s v="2 MOIS = COVID "/>
    <s v="marchés en cours de notifications"/>
    <d v="2022-03-12T00:00:00"/>
    <m/>
    <m/>
    <m/>
    <m/>
    <m/>
    <m/>
    <d v="2022-04-30T00:00:00"/>
    <m/>
    <m/>
    <m/>
    <m/>
    <m/>
    <m/>
    <m/>
    <m/>
    <m/>
    <m/>
    <m/>
    <m/>
    <m/>
    <m/>
    <m/>
    <n v="5202085.5631634295"/>
    <n v="5202085.5631634295"/>
    <n v="5202085.5631634295"/>
    <n v="823733"/>
    <n v="2220.8925959354447"/>
    <n v="130052.13907908574"/>
    <n v="1623885.5631634293"/>
    <n v="1627589.86"/>
    <n v="40597.139079085733"/>
    <n v="2754467"/>
    <n v="600494"/>
    <n v="2153973"/>
    <n v="68861.675000000003"/>
    <m/>
    <n v="800000"/>
    <m/>
    <n v="0.15378447553129321"/>
    <m/>
    <m/>
    <n v="23733"/>
    <n v="20000"/>
    <n v="60597.13907908574"/>
    <m/>
    <m/>
    <n v="60597.13907908574"/>
    <m/>
    <n v="60597.13907908574"/>
    <n v="0.46594496259870155"/>
    <m/>
    <m/>
    <n v="0"/>
    <n v="311951"/>
    <n v="5.9966526158078057E-2"/>
    <n v="4890134.5631634295"/>
    <n v="3206645.6151891341"/>
    <n v="0.67638191884130561"/>
    <n v="493780"/>
    <n v="329953"/>
    <n v="0.59944180942125669"/>
    <s v="achat terrain 600 000 + fondations"/>
    <m/>
    <m/>
    <m/>
    <n v="0"/>
    <m/>
    <m/>
    <m/>
    <m/>
    <m/>
    <m/>
    <n v="0"/>
    <m/>
  </r>
  <r>
    <s v="VEFA Roland Garros LLS"/>
    <x v="2"/>
    <x v="2"/>
    <x v="13"/>
    <s v="PRLC 0207"/>
    <m/>
    <m/>
    <x v="9"/>
    <m/>
    <s v="BZ 90"/>
    <m/>
    <m/>
    <m/>
    <m/>
    <n v="1145.4482758620691"/>
    <n v="533000"/>
    <n v="533000"/>
    <n v="15676.470588235294"/>
    <n v="465.32000722499845"/>
    <n v="465.32000722499845"/>
    <n v="200.08709231785693"/>
    <n v="15676.470588235294"/>
    <n v="33.689655172413794"/>
    <m/>
    <n v="296.82702149437051"/>
    <s v="UAa"/>
    <n v="600"/>
    <m/>
    <x v="1"/>
    <n v="34"/>
    <n v="34"/>
    <n v="34"/>
    <m/>
    <m/>
    <m/>
    <n v="2181.9899999999998"/>
    <n v="2663.84"/>
    <n v="64.176176470588231"/>
    <n v="78.348235294117657"/>
    <m/>
    <m/>
    <m/>
    <n v="0.11764705882352941"/>
    <n v="0.17647058823529413"/>
    <n v="0.3235294117647059"/>
    <n v="0.38235294117647056"/>
    <m/>
    <m/>
    <s v="SO"/>
    <s v="SO"/>
    <m/>
    <s v="collectif"/>
    <s v="oui"/>
    <n v="5591520.2517590132"/>
    <n v="2562.5783123474507"/>
    <n v="2099.0450821967584"/>
    <n v="164456.47799291214"/>
    <m/>
    <m/>
    <d v="2018-12-11T00:00:00"/>
    <m/>
    <d v="2019-03-30T00:00:00"/>
    <d v="2019-07-19T00:00:00"/>
    <m/>
    <n v="3.7"/>
    <s v="x"/>
    <d v="2019-08-19T00:00:00"/>
    <d v="2019-10-23T00:00:00"/>
    <n v="2.1666666666666665"/>
    <n v="102410"/>
    <d v="2019-10-23T00:00:00"/>
    <d v="2019-10-23T00:00:00"/>
    <d v="2019-11-01T00:00:00"/>
    <d v="2021-11-01T00:00:00"/>
    <m/>
    <s v="oui"/>
    <n v="-3.7"/>
    <s v="0"/>
    <n v="0"/>
    <m/>
    <m/>
    <m/>
    <s v="0"/>
    <m/>
    <m/>
    <s v="0"/>
    <m/>
    <m/>
    <s v="0"/>
    <m/>
    <m/>
    <s v="0"/>
    <m/>
    <m/>
    <s v="0"/>
    <m/>
    <m/>
    <m/>
    <m/>
    <s v="0"/>
    <m/>
    <x v="56"/>
    <x v="10"/>
    <n v="6.166666666666667"/>
    <s v="0"/>
    <n v="21"/>
    <n v="24"/>
    <m/>
    <d v="2020-04-29T00:00:00"/>
    <s v="0"/>
    <m/>
    <d v="2020-04-29T00:00:00"/>
    <s v="0"/>
    <m/>
    <d v="2020-04-29T00:00:00"/>
    <s v="0"/>
    <m/>
    <d v="2020-04-29T00:00:00"/>
    <s v="0"/>
    <m/>
    <m/>
    <s v="0"/>
    <m/>
    <d v="2020-04-29T00:00:00"/>
    <s v="0"/>
    <m/>
    <d v="2020-04-29T00:00:00"/>
    <s v="0"/>
    <m/>
    <m/>
    <m/>
    <d v="2021-10-20T00:00:00"/>
    <d v="2022-01-20T00:00:00"/>
    <n v="3.0666666666666669"/>
    <n v="21.033333333333335"/>
    <d v="2022-04-29T00:00:00"/>
    <m/>
    <m/>
    <m/>
    <m/>
    <d v="2021-11-20T00:00:00"/>
    <x v="51"/>
    <x v="8"/>
    <n v="3.0666666666666669"/>
    <n v="18440.127306293001"/>
    <n v="56549.723739298541"/>
    <n v="55320.381918879008"/>
    <m/>
    <m/>
    <m/>
    <m/>
    <m/>
    <n v="0"/>
    <m/>
    <m/>
    <s v="2 MOIS = COVID "/>
    <s v="demande de prêt en cours d'instruction"/>
    <d v="2022-04-29T00:00:00"/>
    <m/>
    <m/>
    <m/>
    <m/>
    <m/>
    <m/>
    <d v="2023-01-20T00:00:00"/>
    <m/>
    <m/>
    <m/>
    <m/>
    <m/>
    <m/>
    <m/>
    <m/>
    <m/>
    <m/>
    <m/>
    <m/>
    <m/>
    <m/>
    <m/>
    <n v="5866669.3039263962"/>
    <n v="5866669.3039263962"/>
    <n v="5866669.3039263962"/>
    <n v="680000"/>
    <n v="2202.3354645648374"/>
    <n v="172549.09717430576"/>
    <n v="1880767.7657972611"/>
    <n v="1880767.7657972611"/>
    <n v="55316.698994037091"/>
    <n v="3305901.538129135"/>
    <n v="591449.37046365719"/>
    <n v="2714452.1676654778"/>
    <n v="97232.398180268676"/>
    <m/>
    <n v="680000"/>
    <m/>
    <n v="0.11590903880416357"/>
    <m/>
    <m/>
    <m/>
    <n v="20000"/>
    <n v="75316.698994037099"/>
    <m/>
    <m/>
    <n v="75316.698994037099"/>
    <m/>
    <n v="75316.698994037099"/>
    <n v="0.43649430931506766"/>
    <m/>
    <m/>
    <m/>
    <m/>
    <n v="0"/>
    <n v="5866669.3039263962"/>
    <n v="0"/>
    <n v="0"/>
    <m/>
    <n v="680000"/>
    <n v="0"/>
    <m/>
    <m/>
    <m/>
    <m/>
    <n v="0"/>
    <m/>
    <m/>
    <m/>
    <m/>
    <m/>
    <m/>
    <n v="0"/>
    <m/>
  </r>
  <r>
    <s v="VEFA Roland Garros PLS"/>
    <x v="2"/>
    <x v="2"/>
    <x v="13"/>
    <s v="PRLC 0207"/>
    <s v="MTG"/>
    <s v="VAF"/>
    <x v="1"/>
    <m/>
    <s v="BZ 90"/>
    <m/>
    <m/>
    <m/>
    <m/>
    <n v="808.55172413793105"/>
    <n v="445600"/>
    <n v="445600"/>
    <n v="18566.666666666668"/>
    <n v="551.10883657454792"/>
    <n v="551.10883657454792"/>
    <n v="198.83093123912366"/>
    <n v="18566.666666666668"/>
    <n v="33.689655172413794"/>
    <m/>
    <n v="296.82702149437051"/>
    <s v="UAa"/>
    <n v="600"/>
    <m/>
    <x v="3"/>
    <n v="24"/>
    <n v="24"/>
    <m/>
    <m/>
    <n v="24"/>
    <m/>
    <n v="1913.93"/>
    <n v="2241.1"/>
    <n v="79.747083333333336"/>
    <n v="93.379166666666663"/>
    <m/>
    <m/>
    <m/>
    <m/>
    <m/>
    <n v="0.33333333333333331"/>
    <n v="0.5"/>
    <n v="0.16666666666666666"/>
    <m/>
    <s v="SO"/>
    <s v="SO"/>
    <m/>
    <s v="collectif"/>
    <s v="oui"/>
    <n v="4669073.3601299999"/>
    <n v="2439.5214872696492"/>
    <n v="2083.3846593770918"/>
    <n v="194544.72333874999"/>
    <m/>
    <m/>
    <d v="2018-12-11T00:00:00"/>
    <m/>
    <d v="2019-03-30T00:00:00"/>
    <d v="2019-07-04T00:00:00"/>
    <d v="2019-07-04T00:00:00"/>
    <n v="3.2"/>
    <s v="x"/>
    <d v="2019-08-19T00:00:00"/>
    <d v="2019-10-23T00:00:00"/>
    <n v="2.1666666666666665"/>
    <n v="102410"/>
    <d v="2019-10-23T00:00:00"/>
    <d v="2019-10-23T00:00:00"/>
    <d v="2019-11-01T00:00:00"/>
    <d v="2021-11-01T00:00:00"/>
    <m/>
    <s v="oui"/>
    <n v="-3.7"/>
    <s v="0"/>
    <n v="0"/>
    <m/>
    <m/>
    <m/>
    <s v="0"/>
    <m/>
    <m/>
    <s v="0"/>
    <m/>
    <m/>
    <s v="0"/>
    <m/>
    <m/>
    <s v="0"/>
    <m/>
    <m/>
    <s v="0"/>
    <m/>
    <m/>
    <m/>
    <m/>
    <s v="0"/>
    <m/>
    <x v="56"/>
    <x v="10"/>
    <n v="6.666666666666667"/>
    <s v="0"/>
    <n v="21"/>
    <n v="24"/>
    <m/>
    <d v="2020-04-29T00:00:00"/>
    <s v="0"/>
    <m/>
    <d v="2020-04-29T00:00:00"/>
    <s v="0"/>
    <m/>
    <d v="2020-04-29T00:00:00"/>
    <s v="0"/>
    <m/>
    <d v="2020-04-29T00:00:00"/>
    <s v="0"/>
    <m/>
    <m/>
    <s v="0"/>
    <m/>
    <d v="2020-04-29T00:00:00"/>
    <s v="0"/>
    <m/>
    <d v="2020-04-29T00:00:00"/>
    <s v="0"/>
    <m/>
    <m/>
    <m/>
    <d v="2021-10-20T00:00:00"/>
    <d v="2022-01-20T00:00:00"/>
    <n v="3.0666666666666669"/>
    <n v="21.033333333333335"/>
    <d v="2022-04-29T00:00:00"/>
    <m/>
    <m/>
    <m/>
    <m/>
    <d v="2021-11-20T00:00:00"/>
    <x v="51"/>
    <x v="8"/>
    <n v="3.0666666666666669"/>
    <n v="21969"/>
    <n v="67371.600000000006"/>
    <n v="65907"/>
    <m/>
    <n v="0"/>
    <m/>
    <m/>
    <m/>
    <n v="0"/>
    <m/>
    <m/>
    <s v="2 MOIS = COVID "/>
    <s v="demande de prêt en cours d'instruction"/>
    <d v="2022-04-29T00:00:00"/>
    <m/>
    <m/>
    <m/>
    <m/>
    <m/>
    <m/>
    <d v="2023-01-20T00:00:00"/>
    <m/>
    <m/>
    <m/>
    <m/>
    <m/>
    <m/>
    <m/>
    <m/>
    <m/>
    <m/>
    <m/>
    <m/>
    <m/>
    <m/>
    <m/>
    <n v="4896954.85645195"/>
    <n v="4896954.85645195"/>
    <n v="4896954.85645195"/>
    <n v="0"/>
    <n v="2185.0675366792871"/>
    <n v="204039.78568549792"/>
    <n v="1780093.4395553619"/>
    <n v="1780093.4395553619"/>
    <n v="74170.559981473416"/>
    <n v="2546416.4168965882"/>
    <n v="561004.41689658829"/>
    <n v="1985412"/>
    <n v="106100.68403735785"/>
    <n v="570445"/>
    <n v="0"/>
    <m/>
    <n v="0"/>
    <m/>
    <m/>
    <m/>
    <n v="0"/>
    <n v="74170.559981473416"/>
    <m/>
    <m/>
    <n v="74170.559981473416"/>
    <m/>
    <n v="74170.559981473416"/>
    <n v="0.36351028174376809"/>
    <m/>
    <m/>
    <n v="0"/>
    <n v="97815"/>
    <n v="1.9974658306503378E-2"/>
    <n v="4799139.85645195"/>
    <n v="0"/>
    <n v="1.9974658306503378E-2"/>
    <m/>
    <n v="0"/>
    <e v="#DIV/0!"/>
    <m/>
    <m/>
    <m/>
    <m/>
    <n v="0"/>
    <m/>
    <m/>
    <m/>
    <m/>
    <m/>
    <m/>
    <n v="0"/>
    <m/>
  </r>
  <r>
    <s v="COCO TURPIN"/>
    <x v="5"/>
    <x v="0"/>
    <x v="8"/>
    <s v="PRLC 0198"/>
    <s v="YFR"/>
    <s v="MMA"/>
    <x v="8"/>
    <m/>
    <s v="EM 628 p"/>
    <s v="EM 628 p_x000a_CPV avec TURPIN signé + clause substit EPFR_x000a_bornage à compléter - manque procurations / DA en cours de finalisation pour EM 629_x000a_EPFR délibère en mars/avril_x000a_minoration foncière CIVIS"/>
    <s v="TURPIN"/>
    <m/>
    <m/>
    <n v="7382"/>
    <n v="1016540"/>
    <m/>
    <n v="26065.128205128207"/>
    <n v="137.7052289352479"/>
    <n v="0"/>
    <n v="0"/>
    <n v="0"/>
    <n v="189.28205128205127"/>
    <m/>
    <n v="52.831211053914927"/>
    <m/>
    <m/>
    <m/>
    <x v="1"/>
    <n v="39"/>
    <n v="39"/>
    <n v="39"/>
    <m/>
    <m/>
    <m/>
    <n v="2854.5000000000005"/>
    <n v="2854.5000000000005"/>
    <n v="73.192307692307708"/>
    <n v="73.192307692307708"/>
    <n v="6.8"/>
    <n v="6.8"/>
    <n v="497.46"/>
    <n v="0"/>
    <n v="0.20512820512820512"/>
    <n v="0.46153846153846156"/>
    <n v="0.30769230769230771"/>
    <n v="2.564102564102564E-2"/>
    <m/>
    <m/>
    <m/>
    <m/>
    <s v="collectif"/>
    <s v="non"/>
    <m/>
    <m/>
    <m/>
    <m/>
    <m/>
    <m/>
    <d v="2018-07-27T00:00:00"/>
    <d v="2019-09-05T00:00:00"/>
    <d v="2018-03-30T00:00:00"/>
    <d v="2018-09-28T00:00:00"/>
    <m/>
    <n v="6.0666666666666664"/>
    <s v="x"/>
    <m/>
    <m/>
    <n v="0"/>
    <m/>
    <d v="1900-03-31T00:00:00"/>
    <m/>
    <m/>
    <d v="1901-12-31T00:00:00"/>
    <m/>
    <s v="oui"/>
    <n v="-1462.7"/>
    <s v="0"/>
    <n v="0"/>
    <d v="2017-10-04T00:00:00"/>
    <d v="2017-10-19T00:00:00"/>
    <d v="2017-10-12T00:00:00"/>
    <n v="-7"/>
    <d v="2018-02-08T00:00:00"/>
    <d v="2018-02-08T00:00:00"/>
    <n v="0"/>
    <d v="2018-03-01T00:00:00"/>
    <d v="2018-03-30T00:00:00"/>
    <n v="29"/>
    <d v="2018-05-01T00:00:00"/>
    <d v="2018-07-06T00:00:00"/>
    <n v="66"/>
    <d v="2018-07-01T00:00:00"/>
    <d v="2018-11-05T00:00:00"/>
    <n v="127"/>
    <m/>
    <m/>
    <m/>
    <m/>
    <s v="0"/>
    <m/>
    <x v="57"/>
    <x v="7"/>
    <n v="23.066666666666666"/>
    <s v="0"/>
    <n v="16"/>
    <n v="17"/>
    <d v="2019-10-05T00:00:00"/>
    <d v="2020-04-29T00:00:00"/>
    <n v="207"/>
    <d v="2019-12-05T00:00:00"/>
    <d v="2020-04-29T00:00:00"/>
    <n v="146"/>
    <m/>
    <d v="2020-04-29T00:00:00"/>
    <s v="0"/>
    <m/>
    <d v="2020-04-29T00:00:00"/>
    <s v="0"/>
    <m/>
    <m/>
    <s v="0"/>
    <m/>
    <d v="2020-04-29T00:00:00"/>
    <s v="0"/>
    <m/>
    <d v="2020-04-29T00:00:00"/>
    <s v="0"/>
    <m/>
    <m/>
    <m/>
    <d v="2021-12-20T00:00:00"/>
    <d v="2022-01-20T00:00:00"/>
    <n v="1.0333333333333334"/>
    <n v="21.033333333333335"/>
    <d v="2022-04-29T00:00:00"/>
    <m/>
    <m/>
    <m/>
    <m/>
    <d v="2022-01-20T00:00:00"/>
    <x v="51"/>
    <x v="8"/>
    <n v="1.0333333333333334"/>
    <n v="19427"/>
    <n v="20074.566666666669"/>
    <m/>
    <n v="0"/>
    <n v="0"/>
    <m/>
    <m/>
    <m/>
    <n v="0"/>
    <m/>
    <m/>
    <s v="raccordement EU à 400 mL"/>
    <s v="AO à lancer  "/>
    <d v="2022-04-29T00:00:00"/>
    <m/>
    <m/>
    <m/>
    <m/>
    <m/>
    <m/>
    <d v="2023-01-20T00:00:00"/>
    <m/>
    <m/>
    <m/>
    <m/>
    <m/>
    <m/>
    <m/>
    <m/>
    <m/>
    <m/>
    <m/>
    <m/>
    <m/>
    <m/>
    <m/>
    <n v="7953242.5899999999"/>
    <n v="7953242.5899999999"/>
    <n v="7953242.5899999999"/>
    <n v="1008481"/>
    <n v="2786.2121527412851"/>
    <n v="203929.29717948718"/>
    <n v="2544968.59"/>
    <m/>
    <n v="65255.604871794865"/>
    <n v="4146293"/>
    <n v="1246293"/>
    <n v="2900000"/>
    <n v="106315.20512820513"/>
    <m/>
    <n v="741000"/>
    <m/>
    <n v="9.3169545831746095E-2"/>
    <n v="253500"/>
    <m/>
    <n v="267481"/>
    <n v="19000"/>
    <n v="84255.604871794872"/>
    <m/>
    <m/>
    <n v="84255.604871794872"/>
    <m/>
    <n v="84255.604871794872"/>
    <n v="0.41316086524653589"/>
    <m/>
    <m/>
    <n v="0"/>
    <n v="350991.23399999994"/>
    <n v="4.4131840570450893E-2"/>
    <n v="7602251.3559999997"/>
    <n v="1134540"/>
    <n v="0.18678309094555104"/>
    <n v="101100"/>
    <n v="907381"/>
    <n v="0.10024978160223147"/>
    <s v="achat foncier 1016540_x000a_1e situation GO et VRD"/>
    <m/>
    <m/>
    <m/>
    <n v="0"/>
    <m/>
    <m/>
    <m/>
    <m/>
    <m/>
    <m/>
    <n v="0"/>
    <m/>
  </r>
  <r>
    <s v="Laurency "/>
    <x v="1"/>
    <x v="1"/>
    <x v="4"/>
    <s v="PRLC 0101"/>
    <m/>
    <s v="GGO"/>
    <x v="0"/>
    <m/>
    <m/>
    <s v="rétrocession voirie Mairie : dossier transmis à commune_x000a_lots à commercialiser : dépôt de pièces à faire chez notaire_x000a_vérifier avec notaire s'il faut afficher le PA modif_x000a_notaire prépare cession de la CH 505 à M. RIVIERE_x000a_"/>
    <m/>
    <m/>
    <m/>
    <n v="6156.15"/>
    <n v="164070"/>
    <n v="163875"/>
    <n v="7457.727272727273"/>
    <n v="26.651397383104701"/>
    <n v="26.619721741672961"/>
    <n v="97.053597867930122"/>
    <n v="7448.863636363636"/>
    <n v="279.82499999999999"/>
    <m/>
    <n v="35.736621102474764"/>
    <s v="UD"/>
    <n v="890"/>
    <m/>
    <x v="0"/>
    <n v="22"/>
    <n v="22"/>
    <m/>
    <n v="22"/>
    <m/>
    <m/>
    <n v="1688.5"/>
    <n v="1688.5"/>
    <n v="76.75"/>
    <n v="76.75"/>
    <n v="5.1100000000000003"/>
    <n v="5.1100000000000003"/>
    <n v="392.07"/>
    <n v="0"/>
    <n v="0.18181818181818182"/>
    <n v="0.36363636363636365"/>
    <n v="0.27272727272727271"/>
    <n v="0.18181818181818182"/>
    <n v="1841.6"/>
    <m/>
    <n v="0"/>
    <n v="1.5"/>
    <s v="MDV"/>
    <s v="non"/>
    <m/>
    <m/>
    <m/>
    <m/>
    <m/>
    <m/>
    <d v="2012-02-24T00:00:00"/>
    <m/>
    <d v="2012-03-30T00:00:00"/>
    <d v="2012-09-25T00:00:00"/>
    <m/>
    <n v="5.9666666666666668"/>
    <m/>
    <m/>
    <d v="2012-12-13T00:00:00"/>
    <m/>
    <m/>
    <d v="2013-03-13T00:00:00"/>
    <m/>
    <d v="2013-04-01T00:00:00"/>
    <d v="2015-04-01T00:00:00"/>
    <n v="37724"/>
    <s v="non"/>
    <n v="-10.466666666666667"/>
    <s v="0"/>
    <n v="37724"/>
    <m/>
    <m/>
    <m/>
    <s v="0"/>
    <m/>
    <m/>
    <s v="0"/>
    <m/>
    <m/>
    <s v="0"/>
    <m/>
    <m/>
    <s v="0"/>
    <m/>
    <m/>
    <s v="0"/>
    <m/>
    <m/>
    <m/>
    <m/>
    <s v="0"/>
    <m/>
    <x v="12"/>
    <x v="4"/>
    <n v="3.9333333333333331"/>
    <s v="0"/>
    <n v="14"/>
    <n v="33"/>
    <m/>
    <m/>
    <s v="0"/>
    <m/>
    <m/>
    <s v="0"/>
    <m/>
    <m/>
    <s v="0"/>
    <m/>
    <m/>
    <s v="0"/>
    <m/>
    <m/>
    <s v="0"/>
    <m/>
    <m/>
    <s v="0"/>
    <m/>
    <m/>
    <s v="0"/>
    <m/>
    <m/>
    <m/>
    <d v="2014-03-21T00:00:00"/>
    <d v="2015-11-18T00:00:00"/>
    <n v="20.233333333333334"/>
    <m/>
    <m/>
    <d v="2015-11-30T00:00:00"/>
    <s v="ok"/>
    <s v="ok"/>
    <m/>
    <d v="2014-04-21T00:00:00"/>
    <x v="52"/>
    <x v="6"/>
    <n v="21.966666666666665"/>
    <n v="8886.294089596"/>
    <n v="195202.26016812545"/>
    <m/>
    <m/>
    <n v="350449.67"/>
    <n v="125069"/>
    <m/>
    <m/>
    <n v="0"/>
    <m/>
    <s v="Lot 1.1 SATP_x000a_Lot 9 ERSEC _x000a_Soit 2 lots sur 15 = 13%_x000a_3 RO"/>
    <m/>
    <m/>
    <d v="1901-12-31T00:00:00"/>
    <d v="2015-11-13T00:00:00"/>
    <m/>
    <s v="notifiés le 20/06/2016"/>
    <d v="2015-12-10T00:00:00"/>
    <d v="2016-03-01T00:00:00"/>
    <d v="2017-05-14T00:00:00"/>
    <d v="2016-11-18T00:00:00"/>
    <n v="56767"/>
    <d v="2016-06-09T00:00:00"/>
    <d v="2016-06-10T00:00:00"/>
    <m/>
    <s v="ok"/>
    <d v="2017-05-29T00:00:00"/>
    <m/>
    <m/>
    <s v="dossier envoyé 22/02/17"/>
    <s v="à déposer"/>
    <d v="2017-03-14T00:00:00"/>
    <s v="ok"/>
    <d v="2017-07-31T00:00:00"/>
    <m/>
    <n v="3365389"/>
    <n v="3789161"/>
    <n v="3789161"/>
    <n v="3789161"/>
    <n v="668000"/>
    <n v="2244.0989043529762"/>
    <n v="172234.59090909091"/>
    <n v="929819"/>
    <m/>
    <n v="42264.5"/>
    <n v="1895079"/>
    <n v="328778"/>
    <n v="1566301"/>
    <n v="86139.954545454544"/>
    <n v="0"/>
    <n v="558000"/>
    <n v="110000"/>
    <n v="0.14726215117277941"/>
    <m/>
    <m/>
    <n v="0"/>
    <n v="25363.636363636364"/>
    <n v="67628.136363636368"/>
    <n v="1214321.7850000001"/>
    <n v="440000"/>
    <e v="#REF!"/>
    <n v="91493"/>
    <n v="91786.909090909088"/>
    <n v="0.41754394468820605"/>
    <n v="167316.375"/>
    <m/>
    <n v="406263"/>
    <m/>
    <n v="0"/>
    <n v="3789161"/>
    <n v="3789161"/>
    <m/>
    <m/>
    <n v="668000"/>
    <n v="0"/>
    <m/>
    <m/>
    <m/>
    <m/>
    <n v="0"/>
    <m/>
    <m/>
    <m/>
    <m/>
    <m/>
    <m/>
    <n v="0"/>
    <m/>
  </r>
  <r>
    <s v="VEFA BERGAMOTE TROIS MARES LLS"/>
    <x v="2"/>
    <x v="2"/>
    <x v="13"/>
    <s v="PRLC 0210"/>
    <s v="YFR"/>
    <s v="DBE"/>
    <x v="8"/>
    <m/>
    <s v="En 339/343/568/570"/>
    <m/>
    <m/>
    <m/>
    <m/>
    <n v="3320.3636363636365"/>
    <n v="599393.93939393933"/>
    <n v="599393.93939393933"/>
    <n v="13030.303030303028"/>
    <n v="180.52057094878251"/>
    <n v="180.52057094878251"/>
    <n v="144.6051037852323"/>
    <n v="13030.303030303028"/>
    <n v="72.181818181818187"/>
    <m/>
    <n v="138.53904282115869"/>
    <s v="UA"/>
    <n v="580"/>
    <m/>
    <x v="1"/>
    <n v="46"/>
    <n v="46"/>
    <n v="46"/>
    <m/>
    <m/>
    <m/>
    <n v="3552.52"/>
    <n v="4145.04"/>
    <n v="77.228695652173911"/>
    <n v="90.109565217391307"/>
    <n v="7.58"/>
    <n v="6.5"/>
    <n v="585.70000000000005"/>
    <m/>
    <m/>
    <n v="0.65217391304347827"/>
    <n v="0.34782608695652173"/>
    <m/>
    <m/>
    <s v="SO"/>
    <s v="SO"/>
    <m/>
    <s v="collectif"/>
    <s v="oui"/>
    <n v="8484480.0359200016"/>
    <n v="2388.2990203911595"/>
    <n v="2046.899435450563"/>
    <n v="184445.21817217395"/>
    <d v="2018-11-22T00:00:00"/>
    <m/>
    <d v="2018-12-11T00:00:00"/>
    <m/>
    <d v="2019-03-28T00:00:00"/>
    <d v="2019-10-07T00:00:00"/>
    <d v="2019-10-15T00:00:00"/>
    <n v="6.4333333333333336"/>
    <s v="x"/>
    <d v="2019-10-04T00:00:00"/>
    <d v="2019-11-15T00:00:00"/>
    <n v="1.4"/>
    <n v="103389"/>
    <m/>
    <d v="2019-11-25T00:00:00"/>
    <m/>
    <d v="1901-12-31T00:00:00"/>
    <m/>
    <s v="oui"/>
    <n v="-1463.4666666666667"/>
    <n v="0"/>
    <n v="0"/>
    <m/>
    <m/>
    <m/>
    <s v="0"/>
    <m/>
    <m/>
    <s v="0"/>
    <m/>
    <m/>
    <s v="0"/>
    <m/>
    <m/>
    <s v="0"/>
    <m/>
    <m/>
    <s v="0"/>
    <m/>
    <m/>
    <m/>
    <m/>
    <s v="0"/>
    <m/>
    <x v="58"/>
    <x v="7"/>
    <n v="7.3666666666666663"/>
    <s v="0"/>
    <n v="21"/>
    <n v="22"/>
    <m/>
    <d v="2020-04-29T00:00:00"/>
    <s v="0"/>
    <m/>
    <d v="2020-04-29T00:00:00"/>
    <s v="0"/>
    <m/>
    <d v="2020-04-29T00:00:00"/>
    <s v="0"/>
    <m/>
    <d v="2020-04-29T00:00:00"/>
    <s v="0"/>
    <m/>
    <m/>
    <s v="0"/>
    <m/>
    <d v="2020-04-29T00:00:00"/>
    <s v="0"/>
    <m/>
    <d v="2020-04-29T00:00:00"/>
    <s v="0"/>
    <m/>
    <m/>
    <m/>
    <d v="2022-02-15T00:00:00"/>
    <d v="2022-03-15T00:00:00"/>
    <n v="0.93333333333333335"/>
    <n v="22.833333333333332"/>
    <d v="2022-04-29T00:00:00"/>
    <m/>
    <m/>
    <m/>
    <m/>
    <d v="2022-03-15T00:00:00"/>
    <x v="53"/>
    <x v="8"/>
    <n v="0"/>
    <m/>
    <n v="0"/>
    <m/>
    <m/>
    <n v="0"/>
    <m/>
    <m/>
    <m/>
    <n v="0"/>
    <m/>
    <m/>
    <m/>
    <s v="en contrôle siège DEAL"/>
    <d v="2022-04-29T00:00:00"/>
    <m/>
    <m/>
    <m/>
    <m/>
    <m/>
    <m/>
    <d v="2023-03-15T00:00:00"/>
    <m/>
    <m/>
    <m/>
    <m/>
    <m/>
    <m/>
    <m/>
    <m/>
    <m/>
    <m/>
    <m/>
    <m/>
    <m/>
    <m/>
    <m/>
    <n v="8895103.3508167807"/>
    <n v="8895103.3508167807"/>
    <n v="8895103.3508167807"/>
    <n v="1150000"/>
    <n v="2145.9632116497742"/>
    <n v="193371.81197427784"/>
    <n v="2703600.4813463944"/>
    <n v="2703600"/>
    <n v="58773.923507530315"/>
    <n v="5041502.8694703858"/>
    <n v="908634.83638869505"/>
    <n v="4132868.0330816912"/>
    <n v="109597.88846674752"/>
    <m/>
    <n v="1150000"/>
    <m/>
    <n v="0.12928461364020047"/>
    <m/>
    <m/>
    <m/>
    <n v="25000"/>
    <n v="83773.923507530315"/>
    <m/>
    <m/>
    <n v="83773.923507530315"/>
    <m/>
    <n v="83773.923507530315"/>
    <n v="0.43322717335179056"/>
    <m/>
    <m/>
    <n v="0"/>
    <n v="95905"/>
    <n v="1.0781774670576892E-2"/>
    <n v="8799198.3508167807"/>
    <n v="0"/>
    <n v="1.0781774670576892E-2"/>
    <m/>
    <n v="1150000"/>
    <n v="0"/>
    <m/>
    <m/>
    <m/>
    <m/>
    <n v="0"/>
    <m/>
    <m/>
    <m/>
    <m/>
    <m/>
    <m/>
    <n v="0"/>
    <m/>
  </r>
  <r>
    <s v="VEFA BERGAMOTE TROIS MARES LLTS"/>
    <x v="2"/>
    <x v="2"/>
    <x v="13"/>
    <s v="PRLC 0210"/>
    <s v="YFR"/>
    <m/>
    <x v="10"/>
    <m/>
    <s v="En 339/343/568/570"/>
    <m/>
    <m/>
    <m/>
    <m/>
    <n v="1443.6363636363637"/>
    <n v="260606.06060606061"/>
    <n v="260606.06060606061"/>
    <n v="13030.30303030303"/>
    <n v="180.52057094878253"/>
    <n v="180.52057094878253"/>
    <n v="207.98568284601805"/>
    <n v="13030.30303030303"/>
    <n v="72.181818181818187"/>
    <m/>
    <n v="138.53904282115869"/>
    <s v="UA"/>
    <n v="580"/>
    <m/>
    <x v="0"/>
    <n v="20"/>
    <n v="20"/>
    <m/>
    <n v="20"/>
    <m/>
    <m/>
    <n v="920.8"/>
    <n v="1253"/>
    <n v="46.04"/>
    <n v="62.65"/>
    <n v="7.87"/>
    <n v="5.78"/>
    <n v="362.32"/>
    <m/>
    <n v="1"/>
    <m/>
    <m/>
    <m/>
    <m/>
    <s v="SO"/>
    <s v="SO"/>
    <m/>
    <s v="collectif"/>
    <s v="oui"/>
    <n v="2121120.0089800004"/>
    <n v="2303.5621296481327"/>
    <n v="1692.8332074860339"/>
    <n v="106056.00044900001"/>
    <d v="2018-11-22T00:00:00"/>
    <m/>
    <d v="2018-12-11T00:00:00"/>
    <m/>
    <d v="2019-03-28T00:00:00"/>
    <d v="2019-10-07T00:00:00"/>
    <d v="2019-10-15T00:00:00"/>
    <n v="6.4333333333333336"/>
    <s v="x"/>
    <d v="2019-10-04T00:00:00"/>
    <d v="2019-11-15T00:00:00"/>
    <n v="1.4"/>
    <n v="103393"/>
    <m/>
    <d v="2019-11-25T00:00:00"/>
    <m/>
    <d v="1901-12-31T00:00:00"/>
    <m/>
    <s v="oui"/>
    <n v="-1463.4666666666667"/>
    <n v="0"/>
    <n v="0"/>
    <m/>
    <m/>
    <m/>
    <s v="0"/>
    <m/>
    <m/>
    <s v="0"/>
    <m/>
    <m/>
    <s v="0"/>
    <m/>
    <m/>
    <s v="0"/>
    <m/>
    <m/>
    <s v="0"/>
    <m/>
    <m/>
    <m/>
    <m/>
    <s v="0"/>
    <m/>
    <x v="58"/>
    <x v="7"/>
    <n v="7.3666666666666663"/>
    <s v="0"/>
    <n v="21"/>
    <n v="22"/>
    <m/>
    <d v="2020-04-29T00:00:00"/>
    <s v="0"/>
    <m/>
    <d v="2020-04-29T00:00:00"/>
    <s v="0"/>
    <m/>
    <d v="2020-04-29T00:00:00"/>
    <s v="0"/>
    <m/>
    <d v="2020-04-29T00:00:00"/>
    <s v="0"/>
    <m/>
    <m/>
    <s v="0"/>
    <m/>
    <d v="2020-04-29T00:00:00"/>
    <s v="0"/>
    <m/>
    <d v="2020-04-29T00:00:00"/>
    <s v="0"/>
    <m/>
    <m/>
    <m/>
    <d v="2022-02-15T00:00:00"/>
    <d v="2022-03-15T00:00:00"/>
    <n v="0.93333333333333335"/>
    <n v="22.833333333333332"/>
    <d v="2022-04-29T00:00:00"/>
    <m/>
    <m/>
    <m/>
    <m/>
    <d v="2022-03-15T00:00:00"/>
    <x v="53"/>
    <x v="8"/>
    <n v="0"/>
    <m/>
    <n v="0"/>
    <m/>
    <m/>
    <n v="0"/>
    <m/>
    <m/>
    <m/>
    <n v="0"/>
    <m/>
    <m/>
    <m/>
    <s v="en contrôle siège DEAL"/>
    <d v="2022-04-29T00:00:00"/>
    <m/>
    <m/>
    <m/>
    <m/>
    <m/>
    <m/>
    <d v="2023-03-15T00:00:00"/>
    <m/>
    <m/>
    <m/>
    <m/>
    <m/>
    <m/>
    <m/>
    <m/>
    <m/>
    <m/>
    <m/>
    <m/>
    <m/>
    <m/>
    <m/>
    <n v="2229074.8265152671"/>
    <n v="2229074.8265152671"/>
    <n v="2229074.8265152671"/>
    <n v="600000"/>
    <n v="1778.9902845293434"/>
    <n v="111453.74132576336"/>
    <n v="564878.50114207214"/>
    <n v="564877.53220060014"/>
    <n v="28243.925057103606"/>
    <n v="1064196.3253731951"/>
    <n v="191345.32537319505"/>
    <n v="872851"/>
    <n v="53209.816268659757"/>
    <m/>
    <n v="600000"/>
    <m/>
    <n v="0.26916996812439242"/>
    <m/>
    <m/>
    <m/>
    <n v="30000"/>
    <n v="58243.925057103603"/>
    <m/>
    <m/>
    <n v="58243.925057103603"/>
    <m/>
    <n v="58243.925057103603"/>
    <n v="0.52258384836866922"/>
    <m/>
    <m/>
    <n v="0"/>
    <m/>
    <n v="0"/>
    <n v="2229074.8265152671"/>
    <n v="0"/>
    <n v="0"/>
    <m/>
    <n v="600000"/>
    <n v="0"/>
    <m/>
    <m/>
    <m/>
    <m/>
    <n v="0"/>
    <m/>
    <m/>
    <m/>
    <m/>
    <m/>
    <m/>
    <n v="0"/>
    <m/>
  </r>
  <r>
    <s v="Casabianca"/>
    <x v="9"/>
    <x v="2"/>
    <x v="12"/>
    <m/>
    <s v="JER"/>
    <s v="VAF"/>
    <x v="11"/>
    <m/>
    <s v="AP 1535"/>
    <s v="bail à construction sur AP 1558 qui concerne Foyer Casabianca"/>
    <s v="Entre-Deux"/>
    <s v="LE GOFF"/>
    <d v="2008-12-16T00:00:00"/>
    <m/>
    <m/>
    <m/>
    <m/>
    <m/>
    <m/>
    <m/>
    <m/>
    <m/>
    <m/>
    <e v="#DIV/0!"/>
    <m/>
    <m/>
    <m/>
    <x v="2"/>
    <n v="16"/>
    <n v="0"/>
    <m/>
    <m/>
    <m/>
    <n v="16"/>
    <m/>
    <m/>
    <n v="0"/>
    <n v="0"/>
    <m/>
    <m/>
    <m/>
    <m/>
    <m/>
    <m/>
    <m/>
    <m/>
    <m/>
    <m/>
    <m/>
    <m/>
    <m/>
    <m/>
    <m/>
    <m/>
    <m/>
    <m/>
    <m/>
    <m/>
    <d v="2019-12-17T00:00:00"/>
    <m/>
    <m/>
    <m/>
    <m/>
    <n v="0"/>
    <m/>
    <m/>
    <m/>
    <n v="0"/>
    <m/>
    <m/>
    <m/>
    <m/>
    <d v="1901-12-31T00:00:00"/>
    <m/>
    <m/>
    <m/>
    <m/>
    <m/>
    <d v="2019-09-03T00:00:00"/>
    <d v="2019-08-19T00:00:00"/>
    <d v="2019-08-21T00:00:00"/>
    <n v="2"/>
    <d v="2020-04-30T00:00:00"/>
    <m/>
    <s v="0"/>
    <d v="2020-04-16T00:00:00"/>
    <d v="2020-04-29T00:00:00"/>
    <n v="13"/>
    <d v="2020-04-16T00:00:00"/>
    <d v="2020-04-29T00:00:00"/>
    <n v="13"/>
    <d v="2020-05-30T00:00:00"/>
    <d v="2020-05-30T00:00:00"/>
    <n v="0"/>
    <m/>
    <m/>
    <m/>
    <m/>
    <s v="0"/>
    <d v="2021-02-01T00:00:00"/>
    <x v="59"/>
    <x v="7"/>
    <n v="1475.6666666666667"/>
    <n v="42"/>
    <n v="12"/>
    <n v="12"/>
    <m/>
    <d v="2020-04-29T00:00:00"/>
    <s v="0"/>
    <m/>
    <d v="2020-04-29T00:00:00"/>
    <s v="0"/>
    <m/>
    <d v="2020-04-29T00:00:00"/>
    <s v="0"/>
    <m/>
    <d v="2020-04-29T00:00:00"/>
    <s v="0"/>
    <m/>
    <m/>
    <s v="0"/>
    <m/>
    <d v="2020-04-29T00:00:00"/>
    <s v="0"/>
    <m/>
    <d v="2020-04-29T00:00:00"/>
    <s v="0"/>
    <m/>
    <m/>
    <m/>
    <d v="2022-03-15T00:00:00"/>
    <d v="2022-03-15T00:00:00"/>
    <n v="0"/>
    <n v="22.833333333333332"/>
    <d v="2022-04-29T00:00:00"/>
    <m/>
    <m/>
    <d v="2022-07-17T00:00:00"/>
    <m/>
    <d v="2022-04-15T00:00:00"/>
    <x v="54"/>
    <x v="8"/>
    <n v="0"/>
    <m/>
    <n v="0"/>
    <m/>
    <m/>
    <n v="0"/>
    <m/>
    <m/>
    <m/>
    <n v="0"/>
    <m/>
    <m/>
    <m/>
    <m/>
    <d v="2022-04-29T00:00:00"/>
    <m/>
    <m/>
    <m/>
    <m/>
    <m/>
    <m/>
    <d v="2023-03-15T00:00:00"/>
    <m/>
    <m/>
    <m/>
    <m/>
    <m/>
    <m/>
    <m/>
    <m/>
    <m/>
    <m/>
    <m/>
    <m/>
    <m/>
    <m/>
    <m/>
    <n v="3367324.58"/>
    <n v="3367324.58"/>
    <m/>
    <n v="494650"/>
    <e v="#DIV/0!"/>
    <n v="210457.78625"/>
    <m/>
    <m/>
    <e v="#REF!"/>
    <n v="2872674.58"/>
    <m/>
    <m/>
    <n v="179542.16125"/>
    <m/>
    <n v="492480"/>
    <m/>
    <n v="0.14625260746322233"/>
    <m/>
    <m/>
    <n v="2170"/>
    <n v="30780"/>
    <n v="30780"/>
    <m/>
    <m/>
    <e v="#REF!"/>
    <m/>
    <n v="30780"/>
    <e v="#REF!"/>
    <m/>
    <m/>
    <m/>
    <m/>
    <n v="0"/>
    <n v="3367324.58"/>
    <n v="1179792.5535766424"/>
    <n v="0.35036496350364965"/>
    <m/>
    <n v="494650"/>
    <n v="0"/>
    <m/>
    <m/>
    <m/>
    <m/>
    <n v="0"/>
    <m/>
    <m/>
    <m/>
    <m/>
    <m/>
    <m/>
    <n v="0"/>
    <m/>
  </r>
  <r>
    <s v="Chapelle"/>
    <x v="2"/>
    <x v="2"/>
    <x v="12"/>
    <m/>
    <s v="MHO"/>
    <s v="DBA"/>
    <x v="11"/>
    <m/>
    <s v="CN 286"/>
    <s v="RAS"/>
    <s v="SODEGIS"/>
    <s v="MOUTIEN"/>
    <d v="1997-05-21T00:00:00"/>
    <m/>
    <m/>
    <m/>
    <m/>
    <m/>
    <m/>
    <m/>
    <m/>
    <m/>
    <m/>
    <e v="#DIV/0!"/>
    <m/>
    <m/>
    <m/>
    <x v="2"/>
    <n v="38"/>
    <n v="0"/>
    <m/>
    <m/>
    <m/>
    <n v="38"/>
    <m/>
    <m/>
    <n v="0"/>
    <n v="0"/>
    <m/>
    <m/>
    <m/>
    <m/>
    <m/>
    <m/>
    <m/>
    <m/>
    <m/>
    <m/>
    <m/>
    <m/>
    <m/>
    <m/>
    <m/>
    <m/>
    <m/>
    <m/>
    <m/>
    <m/>
    <d v="2019-12-17T00:00:00"/>
    <m/>
    <m/>
    <m/>
    <m/>
    <n v="0"/>
    <m/>
    <m/>
    <m/>
    <n v="0"/>
    <m/>
    <m/>
    <m/>
    <m/>
    <d v="1901-12-31T00:00:00"/>
    <m/>
    <m/>
    <m/>
    <m/>
    <m/>
    <d v="2019-08-29T00:00:00"/>
    <d v="2019-08-19T00:00:00"/>
    <d v="2019-08-27T00:00:00"/>
    <n v="8"/>
    <d v="2020-04-30T00:00:00"/>
    <m/>
    <s v="0"/>
    <d v="2020-03-16T00:00:00"/>
    <d v="2020-04-15T00:00:00"/>
    <n v="30"/>
    <d v="2020-03-16T00:00:00"/>
    <d v="2020-04-15T00:00:00"/>
    <n v="30"/>
    <d v="2020-05-17T00:00:00"/>
    <d v="2020-05-17T00:00:00"/>
    <n v="0"/>
    <m/>
    <m/>
    <m/>
    <m/>
    <s v="0"/>
    <d v="2021-02-01T00:00:00"/>
    <x v="59"/>
    <x v="7"/>
    <n v="1475.6666666666667"/>
    <n v="42"/>
    <n v="12"/>
    <n v="12"/>
    <m/>
    <d v="2020-04-29T00:00:00"/>
    <s v="0"/>
    <m/>
    <d v="2020-04-29T00:00:00"/>
    <s v="0"/>
    <m/>
    <d v="2020-04-29T00:00:00"/>
    <s v="0"/>
    <m/>
    <d v="2020-04-29T00:00:00"/>
    <s v="0"/>
    <m/>
    <m/>
    <s v="0"/>
    <m/>
    <d v="2020-04-29T00:00:00"/>
    <s v="0"/>
    <m/>
    <d v="2020-04-29T00:00:00"/>
    <s v="0"/>
    <m/>
    <m/>
    <m/>
    <d v="2022-03-15T00:00:00"/>
    <d v="2022-03-15T00:00:00"/>
    <n v="0"/>
    <n v="22.833333333333332"/>
    <d v="2022-04-29T00:00:00"/>
    <m/>
    <m/>
    <d v="2022-07-17T00:00:00"/>
    <m/>
    <d v="2022-04-15T00:00:00"/>
    <x v="54"/>
    <x v="8"/>
    <n v="0"/>
    <m/>
    <n v="0"/>
    <m/>
    <m/>
    <n v="0"/>
    <m/>
    <m/>
    <m/>
    <n v="0"/>
    <m/>
    <m/>
    <m/>
    <m/>
    <d v="2022-04-29T00:00:00"/>
    <m/>
    <m/>
    <m/>
    <m/>
    <m/>
    <m/>
    <d v="2023-03-15T00:00:00"/>
    <m/>
    <m/>
    <m/>
    <m/>
    <m/>
    <m/>
    <m/>
    <m/>
    <m/>
    <m/>
    <m/>
    <m/>
    <m/>
    <m/>
    <m/>
    <n v="3181927.767293164"/>
    <n v="3181927.767293164"/>
    <m/>
    <n v="275520"/>
    <e v="#DIV/0!"/>
    <n v="83734.941244556947"/>
    <m/>
    <m/>
    <e v="#REF!"/>
    <n v="2906407.767293164"/>
    <m/>
    <m/>
    <n v="76484.414928767481"/>
    <m/>
    <n v="273600"/>
    <m/>
    <n v="8.5985609985341979E-2"/>
    <m/>
    <m/>
    <n v="1920"/>
    <n v="7200"/>
    <n v="7200"/>
    <m/>
    <m/>
    <e v="#REF!"/>
    <m/>
    <n v="7200"/>
    <e v="#REF!"/>
    <m/>
    <m/>
    <m/>
    <m/>
    <n v="0"/>
    <n v="3181927.767293164"/>
    <n v="1114836.0060589188"/>
    <n v="0.35036496350364965"/>
    <m/>
    <n v="275520"/>
    <n v="0"/>
    <m/>
    <m/>
    <m/>
    <m/>
    <n v="0"/>
    <m/>
    <m/>
    <m/>
    <m/>
    <m/>
    <m/>
    <n v="0"/>
    <m/>
  </r>
  <r>
    <s v="Chemin Galet 1"/>
    <x v="4"/>
    <x v="2"/>
    <x v="12"/>
    <m/>
    <s v="JER"/>
    <s v="DAM"/>
    <x v="11"/>
    <m/>
    <s v="BY 1389 …"/>
    <s v="BY 105_x000a_BY 1045_x000a_BY 888_x000a_manque bcp de justificatifs"/>
    <s v="SODEGIS"/>
    <s v="HOARAU_x000a_HOARAU_x000a_ESPARON"/>
    <s v="13/05/1992_x000a_09/08/96_x000a_22/08/94"/>
    <m/>
    <m/>
    <m/>
    <m/>
    <m/>
    <m/>
    <m/>
    <m/>
    <m/>
    <m/>
    <e v="#DIV/0!"/>
    <m/>
    <m/>
    <m/>
    <x v="2"/>
    <n v="30"/>
    <n v="0"/>
    <m/>
    <m/>
    <m/>
    <n v="30"/>
    <m/>
    <m/>
    <n v="0"/>
    <n v="0"/>
    <m/>
    <m/>
    <m/>
    <m/>
    <m/>
    <m/>
    <m/>
    <m/>
    <m/>
    <m/>
    <m/>
    <m/>
    <m/>
    <m/>
    <m/>
    <m/>
    <m/>
    <m/>
    <m/>
    <m/>
    <d v="2019-12-17T00:00:00"/>
    <m/>
    <m/>
    <m/>
    <m/>
    <n v="0"/>
    <s v="x"/>
    <m/>
    <m/>
    <n v="0"/>
    <m/>
    <m/>
    <m/>
    <m/>
    <d v="1901-12-31T00:00:00"/>
    <m/>
    <m/>
    <m/>
    <m/>
    <m/>
    <d v="2019-08-27T00:00:00"/>
    <d v="2019-08-19T00:00:00"/>
    <d v="2019-08-27T00:00:00"/>
    <n v="8"/>
    <d v="2020-04-30T00:00:00"/>
    <m/>
    <s v="0"/>
    <d v="2020-03-16T00:00:00"/>
    <d v="2020-04-15T00:00:00"/>
    <n v="30"/>
    <d v="2020-03-16T00:00:00"/>
    <d v="2020-04-15T00:00:00"/>
    <n v="30"/>
    <d v="2020-05-17T00:00:00"/>
    <d v="2020-05-17T00:00:00"/>
    <n v="0"/>
    <m/>
    <m/>
    <m/>
    <m/>
    <s v="0"/>
    <d v="2021-02-01T00:00:00"/>
    <x v="59"/>
    <x v="7"/>
    <n v="1475.6666666666667"/>
    <n v="42"/>
    <n v="12"/>
    <n v="12"/>
    <m/>
    <d v="2020-04-29T00:00:00"/>
    <s v="0"/>
    <m/>
    <d v="2020-04-29T00:00:00"/>
    <s v="0"/>
    <m/>
    <d v="2020-04-29T00:00:00"/>
    <s v="0"/>
    <m/>
    <d v="2020-04-29T00:00:00"/>
    <s v="0"/>
    <m/>
    <m/>
    <s v="0"/>
    <m/>
    <d v="2020-04-29T00:00:00"/>
    <s v="0"/>
    <m/>
    <d v="2020-04-29T00:00:00"/>
    <s v="0"/>
    <m/>
    <m/>
    <m/>
    <d v="2022-03-15T00:00:00"/>
    <d v="2022-03-15T00:00:00"/>
    <n v="0"/>
    <n v="22.833333333333332"/>
    <d v="2022-04-29T00:00:00"/>
    <m/>
    <m/>
    <d v="2022-07-17T00:00:00"/>
    <m/>
    <d v="2022-04-15T00:00:00"/>
    <x v="54"/>
    <x v="8"/>
    <n v="0"/>
    <m/>
    <n v="0"/>
    <m/>
    <m/>
    <n v="0"/>
    <m/>
    <m/>
    <m/>
    <n v="0"/>
    <m/>
    <m/>
    <m/>
    <m/>
    <d v="2022-04-29T00:00:00"/>
    <m/>
    <m/>
    <m/>
    <m/>
    <m/>
    <m/>
    <d v="2023-03-15T00:00:00"/>
    <m/>
    <m/>
    <m/>
    <m/>
    <m/>
    <m/>
    <m/>
    <m/>
    <m/>
    <m/>
    <m/>
    <m/>
    <m/>
    <m/>
    <m/>
    <n v="2076447.11"/>
    <n v="2076447.11"/>
    <m/>
    <n v="390970"/>
    <e v="#DIV/0!"/>
    <n v="69214.903666666665"/>
    <m/>
    <m/>
    <e v="#REF!"/>
    <n v="1685477.11"/>
    <m/>
    <m/>
    <n v="56182.570333333337"/>
    <m/>
    <n v="388800"/>
    <m/>
    <n v="0.18724291031905935"/>
    <m/>
    <m/>
    <n v="2170"/>
    <n v="12960"/>
    <n v="12960"/>
    <m/>
    <m/>
    <e v="#REF!"/>
    <m/>
    <n v="12960"/>
    <e v="#REF!"/>
    <m/>
    <m/>
    <m/>
    <m/>
    <n v="0"/>
    <n v="2076447.11"/>
    <n v="727514.31591240887"/>
    <n v="0.35036496350364965"/>
    <m/>
    <n v="390970"/>
    <n v="0"/>
    <m/>
    <m/>
    <m/>
    <m/>
    <n v="0"/>
    <m/>
    <m/>
    <m/>
    <m/>
    <m/>
    <m/>
    <n v="0"/>
    <m/>
  </r>
  <r>
    <s v="Chemin Galet 2"/>
    <x v="4"/>
    <x v="2"/>
    <x v="12"/>
    <m/>
    <s v="JER"/>
    <s v="DAM"/>
    <x v="11"/>
    <m/>
    <s v="BY 1385 …"/>
    <s v="BY 105_x000a_BY 1045_x000a_BY 888_x000a_manque bcp de justificatifs"/>
    <s v="SODEGIS"/>
    <s v="HOARAU_x000a_HOARAU_x000a_ESPARON"/>
    <s v="13/05/1992_x000a_09/08/96_x000a_22/08/94"/>
    <m/>
    <m/>
    <m/>
    <m/>
    <m/>
    <m/>
    <m/>
    <m/>
    <m/>
    <m/>
    <e v="#DIV/0!"/>
    <m/>
    <m/>
    <m/>
    <x v="2"/>
    <n v="32"/>
    <n v="0"/>
    <m/>
    <m/>
    <m/>
    <n v="32"/>
    <m/>
    <m/>
    <n v="0"/>
    <n v="0"/>
    <m/>
    <m/>
    <m/>
    <m/>
    <m/>
    <m/>
    <m/>
    <m/>
    <m/>
    <m/>
    <m/>
    <m/>
    <m/>
    <m/>
    <m/>
    <m/>
    <m/>
    <m/>
    <m/>
    <m/>
    <d v="2019-12-17T00:00:00"/>
    <m/>
    <m/>
    <m/>
    <m/>
    <n v="0"/>
    <s v="x"/>
    <m/>
    <m/>
    <n v="0"/>
    <m/>
    <m/>
    <m/>
    <m/>
    <d v="1901-12-31T00:00:00"/>
    <m/>
    <m/>
    <m/>
    <m/>
    <m/>
    <d v="2019-08-29T00:00:00"/>
    <d v="2019-08-19T00:00:00"/>
    <d v="2019-08-29T00:00:00"/>
    <n v="10"/>
    <d v="2020-04-30T00:00:00"/>
    <m/>
    <s v="0"/>
    <d v="2020-02-10T00:00:00"/>
    <d v="2020-02-24T00:00:00"/>
    <n v="14"/>
    <d v="2020-02-10T00:00:00"/>
    <d v="2020-02-24T00:00:00"/>
    <n v="14"/>
    <d v="2020-04-29T00:00:00"/>
    <d v="2020-04-29T00:00:00"/>
    <n v="0"/>
    <m/>
    <m/>
    <m/>
    <m/>
    <s v="0"/>
    <d v="2021-02-01T00:00:00"/>
    <x v="59"/>
    <x v="7"/>
    <n v="1475.6666666666667"/>
    <n v="42"/>
    <n v="12"/>
    <n v="12"/>
    <m/>
    <d v="2020-04-29T00:00:00"/>
    <s v="0"/>
    <m/>
    <d v="2020-04-29T00:00:00"/>
    <s v="0"/>
    <m/>
    <d v="2020-04-29T00:00:00"/>
    <s v="0"/>
    <m/>
    <d v="2020-04-29T00:00:00"/>
    <s v="0"/>
    <m/>
    <m/>
    <s v="0"/>
    <m/>
    <d v="2020-04-29T00:00:00"/>
    <s v="0"/>
    <m/>
    <d v="2020-04-29T00:00:00"/>
    <s v="0"/>
    <m/>
    <m/>
    <m/>
    <d v="2022-03-15T00:00:00"/>
    <d v="2022-03-15T00:00:00"/>
    <n v="0"/>
    <n v="22.833333333333332"/>
    <d v="2022-04-29T00:00:00"/>
    <m/>
    <m/>
    <d v="2022-07-17T00:00:00"/>
    <m/>
    <d v="2022-04-15T00:00:00"/>
    <x v="54"/>
    <x v="8"/>
    <n v="0"/>
    <m/>
    <n v="0"/>
    <m/>
    <m/>
    <n v="0"/>
    <m/>
    <m/>
    <m/>
    <n v="0"/>
    <m/>
    <m/>
    <m/>
    <m/>
    <d v="2022-04-29T00:00:00"/>
    <m/>
    <m/>
    <m/>
    <m/>
    <m/>
    <m/>
    <d v="2023-03-15T00:00:00"/>
    <m/>
    <m/>
    <m/>
    <m/>
    <m/>
    <m/>
    <m/>
    <m/>
    <m/>
    <m/>
    <m/>
    <m/>
    <m/>
    <m/>
    <m/>
    <n v="2088510.7"/>
    <n v="2088510.7"/>
    <m/>
    <n v="416890"/>
    <e v="#DIV/0!"/>
    <n v="65265.959374999999"/>
    <m/>
    <m/>
    <e v="#REF!"/>
    <n v="1671620.7"/>
    <m/>
    <m/>
    <n v="52238.146874999999"/>
    <m/>
    <n v="414720"/>
    <m/>
    <n v="0.19857212127282853"/>
    <m/>
    <m/>
    <n v="2170"/>
    <n v="12960"/>
    <n v="12960"/>
    <m/>
    <m/>
    <e v="#REF!"/>
    <m/>
    <n v="12960"/>
    <e v="#REF!"/>
    <m/>
    <m/>
    <m/>
    <m/>
    <n v="0"/>
    <n v="2088510.7"/>
    <n v="731740.97518248181"/>
    <n v="0.35036496350364965"/>
    <m/>
    <n v="416890"/>
    <n v="0"/>
    <m/>
    <m/>
    <m/>
    <m/>
    <n v="0"/>
    <m/>
    <m/>
    <m/>
    <m/>
    <m/>
    <m/>
    <n v="0"/>
    <m/>
  </r>
  <r>
    <s v="Lié ETHEVE (Poker As 2)"/>
    <x v="2"/>
    <x v="2"/>
    <x v="5"/>
    <s v="PRLC 0139"/>
    <m/>
    <s v="MMA"/>
    <x v="0"/>
    <m/>
    <m/>
    <m/>
    <s v="SODEGIS"/>
    <m/>
    <s v="ok"/>
    <n v="2330"/>
    <n v="800000"/>
    <n v="800000"/>
    <n v="18181.81818181818"/>
    <n v="343.34763948497852"/>
    <n v="343.34763948497852"/>
    <n v="219.88532980050908"/>
    <n v="18181.81818181818"/>
    <n v="52.954545454545453"/>
    <m/>
    <n v="188.8412017167382"/>
    <s v="UA"/>
    <n v="580"/>
    <m/>
    <x v="1"/>
    <n v="44"/>
    <n v="44"/>
    <n v="44"/>
    <m/>
    <m/>
    <m/>
    <n v="3139.3500000000004"/>
    <n v="3638.2599999999993"/>
    <n v="71.348863636363646"/>
    <n v="82.687727272727258"/>
    <n v="7.4111716116393511"/>
    <n v="6.39"/>
    <n v="528.77867270454544"/>
    <n v="0.13636363636363635"/>
    <m/>
    <n v="0.38636363636363635"/>
    <n v="0.38636363636363635"/>
    <n v="9.0909090909090912E-2"/>
    <n v="1428"/>
    <n v="0"/>
    <n v="0"/>
    <n v="4"/>
    <s v="collectif"/>
    <s v="oui"/>
    <m/>
    <m/>
    <m/>
    <m/>
    <m/>
    <m/>
    <d v="2013-03-15T00:00:00"/>
    <m/>
    <d v="2013-03-30T00:00:00"/>
    <d v="2013-06-21T00:00:00"/>
    <m/>
    <n v="2.7666666666666666"/>
    <m/>
    <d v="2013-10-03T00:00:00"/>
    <d v="2013-10-29T00:00:00"/>
    <n v="0.8666666666666667"/>
    <m/>
    <d v="2014-01-29T00:00:00"/>
    <m/>
    <d v="2014-02-01T00:00:00"/>
    <d v="2016-02-01T00:00:00"/>
    <n v="165773"/>
    <s v="oui"/>
    <n v="-9"/>
    <s v="0"/>
    <n v="165773"/>
    <m/>
    <m/>
    <m/>
    <s v="0"/>
    <m/>
    <m/>
    <s v="0"/>
    <m/>
    <m/>
    <s v="0"/>
    <m/>
    <m/>
    <s v="0"/>
    <m/>
    <m/>
    <s v="0"/>
    <m/>
    <m/>
    <m/>
    <m/>
    <s v="0"/>
    <m/>
    <x v="60"/>
    <x v="6"/>
    <n v="10.666666666666666"/>
    <s v="0"/>
    <n v="15"/>
    <n v="28"/>
    <m/>
    <m/>
    <s v="0"/>
    <m/>
    <m/>
    <s v="0"/>
    <m/>
    <m/>
    <s v="0"/>
    <m/>
    <m/>
    <s v="0"/>
    <m/>
    <m/>
    <s v="0"/>
    <m/>
    <m/>
    <s v="0"/>
    <m/>
    <m/>
    <s v="0"/>
    <m/>
    <m/>
    <m/>
    <d v="2015-08-07T00:00:00"/>
    <d v="2016-09-27T00:00:00"/>
    <n v="13.9"/>
    <m/>
    <m/>
    <d v="2017-01-10T00:00:00"/>
    <d v="2016-06-02T00:00:00"/>
    <d v="2016-10-27T00:00:00"/>
    <m/>
    <d v="2015-09-07T00:00:00"/>
    <x v="55"/>
    <x v="6"/>
    <n v="13.9"/>
    <n v="27218"/>
    <n v="378330.2"/>
    <s v="ok"/>
    <m/>
    <n v="0"/>
    <n v="285000"/>
    <m/>
    <n v="194031.93247"/>
    <n v="2.6509981000663596E-2"/>
    <m/>
    <m/>
    <m/>
    <m/>
    <d v="1901-12-31T00:00:00"/>
    <s v="ok"/>
    <d v="2017-04-26T00:00:00"/>
    <s v="ok"/>
    <s v="ok"/>
    <d v="2017-06-26T00:00:00"/>
    <s v="ok"/>
    <d v="2017-09-27T00:00:00"/>
    <n v="205656"/>
    <d v="2016-12-01T00:00:00"/>
    <d v="2017-05-18T00:00:00"/>
    <m/>
    <m/>
    <m/>
    <m/>
    <m/>
    <s v="dossier envoyé Arrangeur 09/11/17"/>
    <m/>
    <d v="2017-08-08T00:00:00"/>
    <d v="2018-02-08T00:00:00"/>
    <m/>
    <m/>
    <n v="7150691"/>
    <n v="7319203"/>
    <n v="7319203"/>
    <n v="7319203"/>
    <n v="15486"/>
    <n v="2011.7317069148444"/>
    <n v="166345.52272727274"/>
    <n v="2438948"/>
    <m/>
    <n v="55430.63636363636"/>
    <n v="4693223"/>
    <n v="982573"/>
    <n v="3710650"/>
    <n v="106664.15909090909"/>
    <n v="171546"/>
    <n v="1"/>
    <m/>
    <n v="1.3662689776468832E-7"/>
    <m/>
    <m/>
    <n v="15485"/>
    <n v="2.2727272727272728E-2"/>
    <n v="55430.659090909088"/>
    <m/>
    <m/>
    <e v="#REF!"/>
    <m/>
    <n v="55430.659090909088"/>
    <n v="0.33322603567628878"/>
    <m/>
    <m/>
    <n v="0"/>
    <m/>
    <n v="0"/>
    <n v="7319203"/>
    <n v="7319203"/>
    <m/>
    <m/>
    <n v="15486"/>
    <n v="0"/>
    <m/>
    <n v="992251.75"/>
    <n v="800000"/>
    <n v="474739.22"/>
    <n v="4351790.24"/>
    <n v="2271946"/>
    <n v="423123.99"/>
    <n v="180986.42"/>
    <n v="909381"/>
    <n v="566352.82999999996"/>
    <n v="1178545"/>
    <n v="6997326.21"/>
    <m/>
  </r>
  <r>
    <s v="La Cure 2"/>
    <x v="4"/>
    <x v="2"/>
    <x v="12"/>
    <m/>
    <s v="MHO"/>
    <s v="NLE"/>
    <x v="11"/>
    <m/>
    <m/>
    <s v="dépôt de pièces divisant BN 419/420/421/422/423/782/783/825_x000a_manque titre de propriété des parcelles divisées"/>
    <s v="SODEGIS"/>
    <s v="BASTI"/>
    <d v="2001-08-22T00:00:00"/>
    <m/>
    <m/>
    <m/>
    <m/>
    <m/>
    <m/>
    <m/>
    <m/>
    <m/>
    <m/>
    <e v="#DIV/0!"/>
    <m/>
    <m/>
    <m/>
    <x v="2"/>
    <n v="18"/>
    <n v="0"/>
    <m/>
    <m/>
    <m/>
    <n v="18"/>
    <m/>
    <m/>
    <n v="0"/>
    <n v="0"/>
    <m/>
    <m/>
    <m/>
    <m/>
    <m/>
    <m/>
    <m/>
    <m/>
    <m/>
    <m/>
    <m/>
    <m/>
    <m/>
    <m/>
    <m/>
    <m/>
    <m/>
    <m/>
    <m/>
    <m/>
    <d v="2019-12-17T00:00:00"/>
    <m/>
    <m/>
    <m/>
    <m/>
    <n v="0"/>
    <s v="x"/>
    <m/>
    <m/>
    <n v="0"/>
    <m/>
    <m/>
    <m/>
    <m/>
    <d v="1901-12-31T00:00:00"/>
    <m/>
    <m/>
    <m/>
    <m/>
    <m/>
    <d v="2019-08-26T00:00:00"/>
    <d v="2019-08-19T00:00:00"/>
    <d v="2019-08-26T00:00:00"/>
    <n v="7"/>
    <d v="2020-04-30T00:00:00"/>
    <m/>
    <s v="0"/>
    <d v="2020-03-16T00:00:00"/>
    <d v="2020-03-16T00:00:00"/>
    <n v="0"/>
    <d v="2020-03-16T00:00:00"/>
    <d v="2020-03-16T00:00:00"/>
    <n v="0"/>
    <d v="2020-05-17T00:00:00"/>
    <d v="2020-05-17T00:00:00"/>
    <n v="0"/>
    <m/>
    <m/>
    <m/>
    <m/>
    <s v="0"/>
    <d v="2021-02-01T00:00:00"/>
    <x v="59"/>
    <x v="7"/>
    <n v="1475.6666666666667"/>
    <n v="42"/>
    <n v="12"/>
    <n v="12"/>
    <m/>
    <d v="2020-04-29T00:00:00"/>
    <s v="0"/>
    <m/>
    <d v="2020-04-29T00:00:00"/>
    <s v="0"/>
    <m/>
    <d v="2020-04-29T00:00:00"/>
    <s v="0"/>
    <m/>
    <d v="2020-04-29T00:00:00"/>
    <s v="0"/>
    <m/>
    <m/>
    <s v="0"/>
    <m/>
    <d v="2020-04-29T00:00:00"/>
    <s v="0"/>
    <m/>
    <d v="2020-04-29T00:00:00"/>
    <s v="0"/>
    <m/>
    <m/>
    <m/>
    <d v="2022-03-15T00:00:00"/>
    <d v="2022-03-15T00:00:00"/>
    <n v="0"/>
    <n v="22.833333333333332"/>
    <d v="2022-04-29T00:00:00"/>
    <m/>
    <m/>
    <d v="2022-07-17T00:00:00"/>
    <m/>
    <d v="2022-04-15T00:00:00"/>
    <x v="54"/>
    <x v="8"/>
    <n v="0"/>
    <m/>
    <n v="0"/>
    <m/>
    <m/>
    <n v="0"/>
    <m/>
    <m/>
    <m/>
    <n v="0"/>
    <m/>
    <m/>
    <m/>
    <m/>
    <d v="2022-04-29T00:00:00"/>
    <m/>
    <m/>
    <m/>
    <m/>
    <m/>
    <m/>
    <d v="2023-03-15T00:00:00"/>
    <m/>
    <m/>
    <m/>
    <m/>
    <m/>
    <m/>
    <m/>
    <m/>
    <m/>
    <m/>
    <m/>
    <m/>
    <m/>
    <m/>
    <m/>
    <n v="1355070.46"/>
    <n v="1355070.46"/>
    <m/>
    <n v="234750"/>
    <e v="#DIV/0!"/>
    <n v="75281.69222222222"/>
    <m/>
    <m/>
    <e v="#REF!"/>
    <n v="1120320.46"/>
    <m/>
    <m/>
    <n v="62240.025555555556"/>
    <m/>
    <n v="233280"/>
    <m/>
    <n v="0.17215340964631462"/>
    <m/>
    <m/>
    <n v="1470"/>
    <n v="12960"/>
    <n v="12960"/>
    <m/>
    <m/>
    <e v="#REF!"/>
    <m/>
    <n v="12960"/>
    <e v="#REF!"/>
    <m/>
    <m/>
    <m/>
    <m/>
    <n v="0"/>
    <n v="1355070.46"/>
    <n v="474769.21226277371"/>
    <n v="0.35036496350364965"/>
    <m/>
    <n v="234750"/>
    <n v="0"/>
    <m/>
    <m/>
    <m/>
    <m/>
    <n v="0"/>
    <m/>
    <m/>
    <m/>
    <m/>
    <m/>
    <m/>
    <n v="0"/>
    <m/>
  </r>
  <r>
    <s v="Le Choka Bleu"/>
    <x v="4"/>
    <x v="2"/>
    <x v="12"/>
    <m/>
    <s v="JER"/>
    <s v="NLE"/>
    <x v="11"/>
    <m/>
    <s v="BN 813 / 812"/>
    <s v="manque justificatif BN 812"/>
    <s v="SODEGIS"/>
    <s v="Esparon"/>
    <d v="1996-11-27T00:00:00"/>
    <m/>
    <m/>
    <m/>
    <m/>
    <m/>
    <m/>
    <m/>
    <m/>
    <m/>
    <m/>
    <e v="#DIV/0!"/>
    <m/>
    <m/>
    <m/>
    <x v="2"/>
    <n v="26"/>
    <n v="0"/>
    <m/>
    <m/>
    <m/>
    <n v="26"/>
    <m/>
    <m/>
    <n v="0"/>
    <n v="0"/>
    <m/>
    <m/>
    <m/>
    <m/>
    <m/>
    <m/>
    <m/>
    <m/>
    <m/>
    <m/>
    <m/>
    <m/>
    <m/>
    <m/>
    <m/>
    <m/>
    <m/>
    <m/>
    <m/>
    <m/>
    <d v="2019-12-17T00:00:00"/>
    <m/>
    <m/>
    <m/>
    <m/>
    <n v="0"/>
    <s v="x"/>
    <m/>
    <m/>
    <n v="0"/>
    <m/>
    <m/>
    <m/>
    <m/>
    <d v="1901-12-31T00:00:00"/>
    <m/>
    <m/>
    <m/>
    <m/>
    <m/>
    <d v="2019-08-22T00:00:00"/>
    <d v="2019-08-19T00:00:00"/>
    <d v="2019-08-22T00:00:00"/>
    <n v="3"/>
    <d v="2020-04-30T00:00:00"/>
    <m/>
    <s v="0"/>
    <d v="2020-03-09T00:00:00"/>
    <d v="2020-03-16T00:00:00"/>
    <n v="7"/>
    <d v="2020-03-09T00:00:00"/>
    <d v="2020-03-16T00:00:00"/>
    <n v="7"/>
    <d v="2020-04-29T00:00:00"/>
    <d v="2020-04-29T00:00:00"/>
    <n v="0"/>
    <m/>
    <m/>
    <m/>
    <m/>
    <s v="0"/>
    <d v="2021-02-01T00:00:00"/>
    <x v="59"/>
    <x v="7"/>
    <n v="1475.6666666666667"/>
    <n v="42"/>
    <n v="12"/>
    <n v="12"/>
    <m/>
    <d v="2020-04-29T00:00:00"/>
    <s v="0"/>
    <m/>
    <d v="2020-04-29T00:00:00"/>
    <s v="0"/>
    <m/>
    <d v="2020-04-29T00:00:00"/>
    <s v="0"/>
    <m/>
    <d v="2020-04-29T00:00:00"/>
    <s v="0"/>
    <m/>
    <m/>
    <s v="0"/>
    <m/>
    <d v="2020-04-29T00:00:00"/>
    <s v="0"/>
    <m/>
    <d v="2020-04-29T00:00:00"/>
    <s v="0"/>
    <m/>
    <m/>
    <m/>
    <d v="2022-03-15T00:00:00"/>
    <d v="2022-03-15T00:00:00"/>
    <n v="0"/>
    <n v="22.833333333333332"/>
    <d v="2022-04-29T00:00:00"/>
    <m/>
    <m/>
    <d v="2022-07-17T00:00:00"/>
    <m/>
    <d v="2022-04-15T00:00:00"/>
    <x v="54"/>
    <x v="8"/>
    <n v="0"/>
    <m/>
    <n v="0"/>
    <m/>
    <m/>
    <n v="0"/>
    <m/>
    <m/>
    <m/>
    <n v="0"/>
    <m/>
    <m/>
    <m/>
    <m/>
    <d v="2022-04-29T00:00:00"/>
    <m/>
    <m/>
    <m/>
    <m/>
    <m/>
    <m/>
    <d v="2023-03-15T00:00:00"/>
    <m/>
    <m/>
    <m/>
    <m/>
    <m/>
    <m/>
    <m/>
    <m/>
    <m/>
    <m/>
    <m/>
    <m/>
    <m/>
    <m/>
    <m/>
    <n v="1683719.3"/>
    <n v="1683719.3"/>
    <m/>
    <n v="338430"/>
    <e v="#DIV/0!"/>
    <n v="64758.43461538462"/>
    <m/>
    <m/>
    <e v="#REF!"/>
    <n v="1345289.3"/>
    <m/>
    <m/>
    <n v="51741.896153846159"/>
    <m/>
    <n v="336960"/>
    <m/>
    <n v="0.20012837056628144"/>
    <m/>
    <m/>
    <n v="1470"/>
    <n v="12960"/>
    <n v="12960"/>
    <m/>
    <m/>
    <e v="#REF!"/>
    <m/>
    <n v="12960"/>
    <e v="#REF!"/>
    <m/>
    <m/>
    <m/>
    <m/>
    <n v="0"/>
    <n v="1683719.3"/>
    <n v="589916.25109489053"/>
    <n v="0.35036496350364965"/>
    <m/>
    <n v="338430"/>
    <n v="0"/>
    <m/>
    <m/>
    <m/>
    <m/>
    <n v="0"/>
    <m/>
    <m/>
    <m/>
    <m/>
    <m/>
    <m/>
    <n v="0"/>
    <m/>
  </r>
  <r>
    <s v="Les Orchidées 1"/>
    <x v="2"/>
    <x v="2"/>
    <x v="12"/>
    <m/>
    <s v="MHO"/>
    <s v="DBE"/>
    <x v="11"/>
    <m/>
    <s v="?"/>
    <s v="pas de justificatif"/>
    <m/>
    <m/>
    <m/>
    <m/>
    <m/>
    <m/>
    <m/>
    <m/>
    <m/>
    <m/>
    <m/>
    <m/>
    <m/>
    <e v="#DIV/0!"/>
    <m/>
    <m/>
    <m/>
    <x v="2"/>
    <n v="83"/>
    <n v="0"/>
    <m/>
    <m/>
    <m/>
    <n v="83"/>
    <m/>
    <m/>
    <n v="0"/>
    <n v="0"/>
    <m/>
    <m/>
    <m/>
    <m/>
    <m/>
    <m/>
    <m/>
    <m/>
    <m/>
    <m/>
    <m/>
    <m/>
    <m/>
    <m/>
    <m/>
    <m/>
    <m/>
    <m/>
    <m/>
    <m/>
    <d v="2019-12-17T00:00:00"/>
    <m/>
    <m/>
    <m/>
    <m/>
    <n v="0"/>
    <s v="x"/>
    <m/>
    <m/>
    <n v="0"/>
    <m/>
    <m/>
    <m/>
    <m/>
    <d v="1901-12-31T00:00:00"/>
    <m/>
    <m/>
    <m/>
    <m/>
    <m/>
    <d v="2019-08-26T00:00:00"/>
    <d v="2019-08-19T00:00:00"/>
    <d v="2019-08-23T00:00:00"/>
    <n v="4"/>
    <d v="2020-04-30T00:00:00"/>
    <m/>
    <s v="0"/>
    <d v="2020-03-09T00:00:00"/>
    <d v="2020-03-16T00:00:00"/>
    <n v="7"/>
    <d v="2020-03-09T00:00:00"/>
    <d v="2020-03-16T00:00:00"/>
    <n v="7"/>
    <d v="2020-05-17T00:00:00"/>
    <d v="2020-05-17T00:00:00"/>
    <n v="0"/>
    <m/>
    <m/>
    <m/>
    <m/>
    <s v="0"/>
    <d v="2021-02-01T00:00:00"/>
    <x v="59"/>
    <x v="7"/>
    <n v="1475.6666666666667"/>
    <n v="42"/>
    <n v="12"/>
    <n v="12"/>
    <m/>
    <d v="2020-04-29T00:00:00"/>
    <s v="0"/>
    <m/>
    <d v="2020-04-29T00:00:00"/>
    <s v="0"/>
    <m/>
    <d v="2020-04-29T00:00:00"/>
    <s v="0"/>
    <m/>
    <d v="2020-04-29T00:00:00"/>
    <s v="0"/>
    <m/>
    <m/>
    <s v="0"/>
    <m/>
    <d v="2020-04-29T00:00:00"/>
    <s v="0"/>
    <m/>
    <d v="2020-04-29T00:00:00"/>
    <s v="0"/>
    <m/>
    <m/>
    <m/>
    <d v="2022-03-15T00:00:00"/>
    <d v="2022-03-15T00:00:00"/>
    <n v="0"/>
    <n v="22.833333333333332"/>
    <d v="2022-04-29T00:00:00"/>
    <m/>
    <m/>
    <d v="2022-07-17T00:00:00"/>
    <m/>
    <d v="2022-04-15T00:00:00"/>
    <x v="54"/>
    <x v="8"/>
    <n v="0"/>
    <m/>
    <n v="0"/>
    <m/>
    <m/>
    <n v="0"/>
    <m/>
    <m/>
    <m/>
    <n v="0"/>
    <m/>
    <m/>
    <m/>
    <m/>
    <d v="2022-04-29T00:00:00"/>
    <m/>
    <m/>
    <m/>
    <m/>
    <m/>
    <m/>
    <d v="2023-03-15T00:00:00"/>
    <m/>
    <m/>
    <m/>
    <m/>
    <m/>
    <m/>
    <m/>
    <m/>
    <m/>
    <m/>
    <m/>
    <m/>
    <m/>
    <m/>
    <m/>
    <n v="5183741.7300000004"/>
    <n v="5183741.7300000004"/>
    <m/>
    <n v="1078480"/>
    <e v="#DIV/0!"/>
    <n v="62454.719638554219"/>
    <m/>
    <m/>
    <e v="#REF!"/>
    <n v="4105261.73"/>
    <m/>
    <m/>
    <n v="49460.984698795182"/>
    <m/>
    <n v="1075680"/>
    <m/>
    <n v="0.20751033828994406"/>
    <m/>
    <m/>
    <n v="2800"/>
    <n v="12960"/>
    <n v="12960"/>
    <m/>
    <m/>
    <e v="#REF!"/>
    <m/>
    <n v="12960"/>
    <e v="#REF!"/>
    <m/>
    <m/>
    <m/>
    <m/>
    <n v="0"/>
    <n v="5183741.7300000004"/>
    <n v="1816201.482043796"/>
    <n v="0.35036496350364965"/>
    <m/>
    <n v="1078480"/>
    <n v="0"/>
    <m/>
    <m/>
    <m/>
    <m/>
    <n v="0"/>
    <m/>
    <m/>
    <m/>
    <m/>
    <m/>
    <m/>
    <n v="0"/>
    <m/>
  </r>
  <r>
    <s v="Max GOBETTI (AUBEPINES)"/>
    <x v="2"/>
    <x v="2"/>
    <x v="4"/>
    <s v="PRLC 0104"/>
    <m/>
    <m/>
    <x v="0"/>
    <m/>
    <m/>
    <m/>
    <m/>
    <m/>
    <m/>
    <n v="2666"/>
    <n v="209000"/>
    <n v="154394"/>
    <n v="12294.117647058823"/>
    <n v="78.394598649662413"/>
    <n v="57.912228057014254"/>
    <n v="124.49121109498468"/>
    <n v="9082"/>
    <n v="156.8235294117647"/>
    <m/>
    <n v="63.765941485371343"/>
    <s v="UB"/>
    <m/>
    <m/>
    <x v="0"/>
    <n v="17"/>
    <n v="17"/>
    <m/>
    <n v="17"/>
    <m/>
    <m/>
    <n v="1232.6100000000001"/>
    <n v="1240.2"/>
    <n v="72.506470588235302"/>
    <n v="72.952941176470588"/>
    <n v="5.2193642672028657"/>
    <n v="5.19"/>
    <n v="378.43768172923086"/>
    <m/>
    <m/>
    <m/>
    <m/>
    <m/>
    <n v="760"/>
    <n v="300"/>
    <n v="0.11252813203300825"/>
    <n v="3"/>
    <s v="collectif"/>
    <s v="non"/>
    <m/>
    <m/>
    <m/>
    <m/>
    <m/>
    <m/>
    <d v="2012-02-24T00:00:00"/>
    <m/>
    <d v="2012-03-30T00:00:00"/>
    <d v="2012-09-18T00:00:00"/>
    <m/>
    <n v="5.7333333333333334"/>
    <m/>
    <m/>
    <d v="2013-01-14T00:00:00"/>
    <m/>
    <m/>
    <d v="2013-04-14T00:00:00"/>
    <m/>
    <d v="2013-05-01T00:00:00"/>
    <d v="2015-05-01T00:00:00"/>
    <n v="52325"/>
    <s v="oui"/>
    <n v="-20.033333333333335"/>
    <s v="0"/>
    <n v="52325"/>
    <m/>
    <m/>
    <m/>
    <s v="0"/>
    <m/>
    <m/>
    <s v="0"/>
    <m/>
    <m/>
    <s v="0"/>
    <m/>
    <m/>
    <s v="0"/>
    <m/>
    <m/>
    <s v="0"/>
    <m/>
    <m/>
    <m/>
    <m/>
    <s v="0"/>
    <m/>
    <x v="11"/>
    <x v="4"/>
    <n v="4.6333333333333337"/>
    <s v="0"/>
    <n v="14"/>
    <n v="46"/>
    <m/>
    <m/>
    <s v="0"/>
    <m/>
    <m/>
    <s v="0"/>
    <m/>
    <m/>
    <s v="0"/>
    <m/>
    <m/>
    <s v="0"/>
    <m/>
    <m/>
    <s v="0"/>
    <m/>
    <m/>
    <s v="0"/>
    <m/>
    <m/>
    <s v="0"/>
    <m/>
    <m/>
    <m/>
    <d v="2014-04-04T00:00:00"/>
    <d v="2016-12-09T00:00:00"/>
    <n v="32.666666666666664"/>
    <m/>
    <m/>
    <d v="2017-02-22T00:00:00"/>
    <s v="ok"/>
    <s v="ok"/>
    <m/>
    <d v="2014-05-04T00:00:00"/>
    <x v="56"/>
    <x v="6"/>
    <n v="32.1"/>
    <n v="6627.916666666667"/>
    <n v="212756.12500000003"/>
    <s v="ok"/>
    <m/>
    <n v="5573.57"/>
    <m/>
    <m/>
    <m/>
    <n v="0"/>
    <m/>
    <s v="Résiliation ABR 21/08/13 - attribution EKCB 04/02/14 _x000a_Résiliation SATP 20/03/14 - attribution TPL 19/09/14 _x000a_Résiliation CSMD 16/05/14 - attribution EKCB 20/07/14 _x000a_Résiliation IJAP 20/06/14 - attribution M Peinture 03/12/14 _x000a_Résiliation APOI 16/06/15 - attribution SOREMIR 04/09/15_x000a_Lot Elec : DTS par Idem_x000a_ soit 6 lots sur 15 soit 40%_x000a_3 RO"/>
    <m/>
    <m/>
    <d v="1901-12-31T00:00:00"/>
    <s v="3 réserves à lever"/>
    <m/>
    <s v="notifiés en mai"/>
    <s v="manque  DOE Métallerie"/>
    <d v="2017-07-12T00:00:00"/>
    <d v="2017-09-22T00:00:00"/>
    <d v="2017-12-09T00:00:00"/>
    <n v="41687"/>
    <d v="2017-02-13T00:00:00"/>
    <d v="2017-02-13T00:00:00"/>
    <m/>
    <m/>
    <m/>
    <m/>
    <m/>
    <s v="envoyé arrangeur 12/10/17"/>
    <s v="à déposer"/>
    <d v="2017-03-14T00:00:00"/>
    <s v="ok"/>
    <s v="ok"/>
    <m/>
    <n v="2618300"/>
    <n v="3124473.57"/>
    <n v="3124473.57"/>
    <n v="3124473.57"/>
    <n v="339997"/>
    <n v="2519.3304063860664"/>
    <n v="183792.56294117647"/>
    <n v="750248"/>
    <m/>
    <n v="44132.23529411765"/>
    <n v="1395754"/>
    <n v="259962"/>
    <n v="1135792"/>
    <n v="82103.176470588238"/>
    <n v="717901"/>
    <n v="254997"/>
    <n v="85000"/>
    <n v="8.161278829444539E-2"/>
    <m/>
    <m/>
    <n v="0"/>
    <n v="14999.823529411764"/>
    <n v="59132.058823529413"/>
    <n v="508572.84914999997"/>
    <n v="340000"/>
    <e v="#REF!"/>
    <n v="0"/>
    <n v="79132.058823529413"/>
    <n v="0.38707522332546446"/>
    <n v="157636.68239999999"/>
    <m/>
    <n v="5573.57"/>
    <m/>
    <n v="0"/>
    <n v="3124473.57"/>
    <n v="3124473.57"/>
    <m/>
    <m/>
    <n v="339997"/>
    <n v="0"/>
    <m/>
    <m/>
    <m/>
    <m/>
    <n v="0"/>
    <m/>
    <m/>
    <m/>
    <m/>
    <m/>
    <m/>
    <m/>
    <m/>
  </r>
  <r>
    <s v="Palissandre"/>
    <x v="2"/>
    <x v="2"/>
    <x v="6"/>
    <s v="PRLC 0110"/>
    <s v="YFR"/>
    <s v="DBA"/>
    <x v="8"/>
    <m/>
    <m/>
    <s v="pas de réseau EU"/>
    <s v="Commune"/>
    <s v="LE GOFF"/>
    <m/>
    <n v="2433"/>
    <n v="487212"/>
    <n v="487212"/>
    <n v="16240.4"/>
    <n v="200.25154130702836"/>
    <n v="200.25154130702836"/>
    <n v="191.48855891901238"/>
    <n v="16240.4"/>
    <n v="81.099999999999994"/>
    <n v="782"/>
    <n v="123.30456226880395"/>
    <s v="UA"/>
    <n v="528"/>
    <n v="0.05"/>
    <x v="1"/>
    <n v="30"/>
    <n v="30"/>
    <n v="30"/>
    <m/>
    <m/>
    <m/>
    <n v="2141.6999999999998"/>
    <n v="2544.34"/>
    <n v="71.39"/>
    <n v="84.811333333333337"/>
    <n v="7.69"/>
    <n v="6.47"/>
    <n v="548.97"/>
    <n v="0.13333333333333333"/>
    <n v="0.23333333333333334"/>
    <n v="0.3"/>
    <n v="0.26666666666666666"/>
    <n v="6.6666666666666666E-2"/>
    <m/>
    <n v="0"/>
    <n v="0"/>
    <n v="4.5"/>
    <s v="collectif"/>
    <s v="oui"/>
    <m/>
    <m/>
    <m/>
    <m/>
    <s v="07/06/2012_x000a_06/11/15"/>
    <m/>
    <d v="2011-09-30T00:00:00"/>
    <s v="27/07/2018_x000a_60 ans"/>
    <d v="2016-03-30T00:00:00"/>
    <d v="2016-09-05T00:00:00"/>
    <d v="2016-10-03T00:00:00"/>
    <n v="5.3"/>
    <s v="x"/>
    <m/>
    <m/>
    <n v="0"/>
    <m/>
    <d v="1900-03-31T00:00:00"/>
    <m/>
    <m/>
    <d v="1901-12-31T00:00:00"/>
    <m/>
    <s v="oui"/>
    <n v="-1464.6666666666667"/>
    <s v="0"/>
    <n v="0"/>
    <m/>
    <m/>
    <m/>
    <s v="0"/>
    <m/>
    <m/>
    <s v="0"/>
    <m/>
    <m/>
    <s v="0"/>
    <m/>
    <m/>
    <s v="0"/>
    <m/>
    <m/>
    <s v="0"/>
    <m/>
    <m/>
    <m/>
    <m/>
    <s v="0"/>
    <m/>
    <x v="57"/>
    <x v="7"/>
    <n v="48.166666666666664"/>
    <s v="0"/>
    <n v="16"/>
    <n v="19"/>
    <d v="2019-08-15T00:00:00"/>
    <d v="2020-04-29T00:00:00"/>
    <n v="258"/>
    <d v="2019-10-15T00:00:00"/>
    <d v="2020-04-29T00:00:00"/>
    <n v="197"/>
    <m/>
    <d v="2020-04-29T00:00:00"/>
    <s v="0"/>
    <m/>
    <d v="2020-04-29T00:00:00"/>
    <s v="0"/>
    <m/>
    <m/>
    <s v="0"/>
    <m/>
    <d v="2020-04-29T00:00:00"/>
    <s v="0"/>
    <m/>
    <d v="2020-04-29T00:00:00"/>
    <s v="0"/>
    <m/>
    <m/>
    <m/>
    <d v="2021-12-20T00:00:00"/>
    <d v="2022-03-20T00:00:00"/>
    <n v="3"/>
    <n v="23"/>
    <d v="2022-04-29T00:00:00"/>
    <m/>
    <m/>
    <m/>
    <m/>
    <d v="2022-01-20T00:00:00"/>
    <x v="57"/>
    <x v="8"/>
    <n v="3"/>
    <n v="16515"/>
    <n v="49545"/>
    <m/>
    <n v="0"/>
    <n v="0"/>
    <m/>
    <m/>
    <m/>
    <n v="0"/>
    <m/>
    <m/>
    <s v="attente schéma directeur EP pour lever réserve BCT sur évacuation EP = réunion Boyer 24/02_x000a_attente DCE indice 2_x000a_analyser offres désamiantage"/>
    <s v="offres entreprises à recevoir 18/09/19"/>
    <d v="2022-04-29T00:00:00"/>
    <m/>
    <m/>
    <m/>
    <m/>
    <m/>
    <m/>
    <d v="2023-03-20T00:00:00"/>
    <m/>
    <m/>
    <m/>
    <m/>
    <m/>
    <m/>
    <m/>
    <m/>
    <m/>
    <m/>
    <m/>
    <m/>
    <m/>
    <m/>
    <m/>
    <n v="5491512.8399999999"/>
    <n v="5491512.8399999999"/>
    <n v="5491512.8399999999"/>
    <n v="317790"/>
    <n v="2158.3250823396243"/>
    <n v="183050.42799999999"/>
    <n v="1861285.76"/>
    <m/>
    <n v="62042.858666666667"/>
    <n v="3312437.08"/>
    <n v="689165.08"/>
    <n v="2623272"/>
    <n v="110414.56933333333"/>
    <n v="0"/>
    <n v="270000"/>
    <m/>
    <n v="4.9166779331431008E-2"/>
    <m/>
    <m/>
    <n v="47790"/>
    <n v="9000"/>
    <n v="71042.858666666652"/>
    <n v="0"/>
    <n v="0"/>
    <n v="71042.858666666652"/>
    <n v="0"/>
    <n v="71042.858666666652"/>
    <n v="0.38810539501533786"/>
    <m/>
    <m/>
    <n v="0"/>
    <n v="1011295"/>
    <n v="0.18415599297770194"/>
    <n v="4480217.84"/>
    <n v="150000"/>
    <n v="0.21147087038405249"/>
    <n v="2979650.37"/>
    <n v="-2661860.37"/>
    <n v="9.3761615217596521"/>
    <s v="ACT MOE, éventuellement 1e situation VRD "/>
    <m/>
    <m/>
    <m/>
    <n v="0"/>
    <m/>
    <m/>
    <m/>
    <m/>
    <m/>
    <m/>
    <n v="0"/>
    <m/>
  </r>
  <r>
    <s v="Rue de l'Eglise"/>
    <x v="9"/>
    <x v="2"/>
    <x v="5"/>
    <s v="PRLC 0148"/>
    <m/>
    <s v="DAM"/>
    <x v="0"/>
    <m/>
    <m/>
    <m/>
    <s v="EPFR"/>
    <s v="BARET"/>
    <d v="2013-11-13T00:00:00"/>
    <n v="1547"/>
    <n v="259906"/>
    <n v="259906"/>
    <n v="14439.222222222223"/>
    <n v="168.00646412411118"/>
    <n v="168.00646412411118"/>
    <n v="197.05075133815524"/>
    <n v="14439.222222222223"/>
    <n v="85.944444444444443"/>
    <n v="836"/>
    <n v="116.35423400129282"/>
    <s v="UA"/>
    <n v="383"/>
    <n v="0"/>
    <x v="0"/>
    <n v="18"/>
    <n v="18"/>
    <m/>
    <n v="18"/>
    <m/>
    <m/>
    <n v="1120.54"/>
    <n v="1318.98"/>
    <n v="62.252222222222223"/>
    <n v="73.276666666666671"/>
    <n v="6.23"/>
    <n v="5.3"/>
    <n v="388.01"/>
    <m/>
    <n v="0.66666666666666663"/>
    <n v="0.33333333333333331"/>
    <m/>
    <m/>
    <m/>
    <n v="0"/>
    <n v="0"/>
    <n v="3.5"/>
    <s v="collectif"/>
    <s v="oui"/>
    <m/>
    <m/>
    <m/>
    <m/>
    <d v="2013-02-08T00:00:00"/>
    <m/>
    <d v="2013-03-15T00:00:00"/>
    <m/>
    <d v="2013-03-30T00:00:00"/>
    <d v="2013-07-08T00:00:00"/>
    <m/>
    <n v="3.3333333333333335"/>
    <m/>
    <d v="2013-10-02T00:00:00"/>
    <d v="2013-10-29T00:00:00"/>
    <n v="0.9"/>
    <m/>
    <d v="2014-01-29T00:00:00"/>
    <m/>
    <d v="2014-02-01T00:00:00"/>
    <d v="2016-02-01T00:00:00"/>
    <n v="44317"/>
    <s v="oui"/>
    <n v="-22.266666666666666"/>
    <s v="0"/>
    <n v="44317"/>
    <d v="2012-10-02T00:00:00"/>
    <d v="2012-10-02T00:00:00"/>
    <d v="2012-10-03T00:00:00"/>
    <n v="1"/>
    <d v="2012-11-14T00:00:00"/>
    <d v="2013-02-06T00:00:00"/>
    <n v="84"/>
    <d v="2013-04-09T00:00:00"/>
    <d v="2013-04-11T00:00:00"/>
    <n v="2"/>
    <d v="2013-06-10T00:00:00"/>
    <d v="2013-06-12T00:00:00"/>
    <n v="2"/>
    <d v="2013-08-25T00:00:00"/>
    <d v="2013-09-12T00:00:00"/>
    <n v="18"/>
    <m/>
    <d v="2014-02-14T00:00:00"/>
    <d v="2013-10-26T00:00:00"/>
    <d v="2014-04-14T00:00:00"/>
    <n v="170"/>
    <d v="2014-04-14T00:00:00"/>
    <x v="61"/>
    <x v="6"/>
    <n v="9.6"/>
    <n v="8"/>
    <n v="15"/>
    <n v="42"/>
    <d v="2014-07-15T00:00:00"/>
    <n v="41835"/>
    <n v="0"/>
    <d v="2014-08-29T00:00:00"/>
    <d v="2015-05-29T00:00:00"/>
    <n v="273"/>
    <d v="2015-02-16T00:00:00"/>
    <d v="2015-09-08T00:00:00"/>
    <n v="204"/>
    <d v="2015-03-18T00:00:00"/>
    <d v="2017-07-27T00:00:00"/>
    <n v="862"/>
    <d v="2015-03-18T00:00:00"/>
    <d v="2017-07-27T00:00:00"/>
    <n v="862"/>
    <d v="2015-05-17T00:00:00"/>
    <d v="2017-07-18T00:00:00"/>
    <n v="793"/>
    <d v="2015-08-15T00:00:00"/>
    <d v="2017-09-07T00:00:00"/>
    <n v="754"/>
    <d v="2017-11-13T00:00:00"/>
    <d v="2017-11-02T00:00:00"/>
    <d v="2017-10-23T00:00:00"/>
    <d v="2015-07-22T00:00:00"/>
    <d v="2017-11-16T00:00:00"/>
    <n v="28.266666666666666"/>
    <m/>
    <m/>
    <d v="2017-12-13T00:00:00"/>
    <d v="2016-01-13T00:00:00"/>
    <d v="2017-11-20T00:00:00"/>
    <m/>
    <d v="2015-08-22T00:00:00"/>
    <x v="58"/>
    <x v="4"/>
    <n v="27.7"/>
    <n v="7190.7782225148085"/>
    <n v="199184.55676366019"/>
    <d v="2017-09-21T00:00:00"/>
    <n v="366248"/>
    <n v="0"/>
    <m/>
    <m/>
    <n v="110247.29"/>
    <n v="3.2927085246660541E-2"/>
    <s v="JFO / BBL / FHO / AGA / APU"/>
    <s v="Lot carrelage : EEPC par _x000a_Lot plomberie : Attitude Plomb par _x000a_Lot ECS : DYELL par _x000a_Lot Charpente : Sorlier par JP Hoarau_x000a_Lot Charpente : JP Hoarau par CMOI_x000a_Soit 5 sur 15 lots  = 33 %_x000a_"/>
    <m/>
    <s v="faisaibilité à 23 logements mixte - à la demande de la Mairie réalisation d'une RPA et de moins de logements_x000a_beaucoup de RO"/>
    <d v="2017-05-29T00:00:00"/>
    <s v="réserves à lever"/>
    <d v="2018-03-05T00:00:00"/>
    <s v="en cours"/>
    <s v="en cours"/>
    <d v="2018-02-21T00:00:00"/>
    <s v="ok"/>
    <d v="2018-11-16T00:00:00"/>
    <n v="26813"/>
    <d v="2018-02-20T00:00:00"/>
    <d v="2018-02-26T00:00:00"/>
    <m/>
    <m/>
    <m/>
    <d v="2018-04-20T00:00:00"/>
    <m/>
    <s v="envoyé 30/01/19"/>
    <s v="à déposer"/>
    <d v="2018-05-22T00:00:00"/>
    <s v="ok"/>
    <m/>
    <m/>
    <n v="2715924"/>
    <n v="3348225"/>
    <n v="3348225"/>
    <n v="3348225"/>
    <n v="432000"/>
    <n v="2538.495655733976"/>
    <n v="186012.5"/>
    <n v="736924"/>
    <m/>
    <n v="40940.222222222219"/>
    <n v="1490303"/>
    <n v="341701"/>
    <n v="1148602"/>
    <n v="82794.611111111109"/>
    <m/>
    <n v="432000"/>
    <m/>
    <n v="0.12902358712452119"/>
    <n v="688998"/>
    <m/>
    <n v="0"/>
    <n v="24000"/>
    <n v="64940.222222222219"/>
    <n v="0"/>
    <n v="0"/>
    <e v="#REF!"/>
    <n v="0"/>
    <n v="64940.222222222219"/>
    <n v="0.34911751749061071"/>
    <m/>
    <m/>
    <n v="0"/>
    <m/>
    <n v="0"/>
    <n v="3348225"/>
    <n v="3348225"/>
    <m/>
    <m/>
    <n v="432000"/>
    <n v="0"/>
    <m/>
    <n v="297216.28000000003"/>
    <n v="265365"/>
    <n v="311140.07999999996"/>
    <n v="2055044.76"/>
    <n v="923493.08000000007"/>
    <n v="362055.67000000004"/>
    <n v="88768"/>
    <n v="403078"/>
    <n v="277650.01"/>
    <n v="530095"/>
    <n v="3193496.12"/>
    <m/>
  </r>
  <r>
    <s v="Bras de la Plaine"/>
    <x v="9"/>
    <x v="2"/>
    <x v="6"/>
    <s v="PRLC 0180"/>
    <s v="TQU"/>
    <s v="VAF"/>
    <x v="12"/>
    <m/>
    <s v="AS 603"/>
    <s v="bornage signé mais remis en cause / servitude de tréfonds SAPHIR_x000a_prorogation EPFR jusqu'au 11/09/2019 : avenant à recevoir"/>
    <m/>
    <m/>
    <m/>
    <n v="2307"/>
    <n v="184560"/>
    <n v="184560"/>
    <n v="10253.333333333334"/>
    <n v="80"/>
    <n v="80"/>
    <n v="132.858222654141"/>
    <n v="10253.333333333334"/>
    <n v="128.16666666666666"/>
    <m/>
    <n v="78.023407022106639"/>
    <s v="AUC4"/>
    <n v="380"/>
    <m/>
    <x v="0"/>
    <n v="18"/>
    <n v="18"/>
    <m/>
    <n v="18"/>
    <m/>
    <m/>
    <n v="1159.8700000000001"/>
    <n v="1389.15"/>
    <n v="64.437222222222232"/>
    <n v="77.175000000000011"/>
    <n v="6.5"/>
    <n v="5.42"/>
    <n v="418.66"/>
    <n v="0.1111111111111111"/>
    <n v="0.33333333333333331"/>
    <n v="0.3888888888888889"/>
    <n v="0.16666666666666666"/>
    <m/>
    <m/>
    <m/>
    <m/>
    <m/>
    <s v="collectif"/>
    <s v="oui"/>
    <m/>
    <m/>
    <m/>
    <m/>
    <d v="2016-01-27T00:00:00"/>
    <m/>
    <d v="2016-04-15T00:00:00"/>
    <s v="27/07/18 _x000a_LLS / LLTS_x000a_manque CIDOM"/>
    <d v="2016-03-30T00:00:00"/>
    <d v="2016-09-07T00:00:00"/>
    <d v="2016-10-03T00:00:00"/>
    <n v="5.3666666666666663"/>
    <s v="x"/>
    <m/>
    <m/>
    <n v="0"/>
    <m/>
    <d v="1900-03-31T00:00:00"/>
    <m/>
    <m/>
    <d v="1901-12-31T00:00:00"/>
    <m/>
    <s v="oui"/>
    <n v="-1464.6666666666667"/>
    <s v="0"/>
    <n v="0"/>
    <m/>
    <m/>
    <m/>
    <s v="0"/>
    <m/>
    <m/>
    <s v="0"/>
    <m/>
    <m/>
    <s v="0"/>
    <m/>
    <m/>
    <s v="0"/>
    <m/>
    <m/>
    <s v="0"/>
    <m/>
    <m/>
    <m/>
    <m/>
    <s v="0"/>
    <m/>
    <x v="57"/>
    <x v="7"/>
    <n v="48.1"/>
    <s v="0"/>
    <n v="16"/>
    <n v="19"/>
    <d v="2019-11-15T00:00:00"/>
    <d v="2020-04-29T00:00:00"/>
    <n v="166"/>
    <d v="2020-01-15T00:00:00"/>
    <d v="2020-04-29T00:00:00"/>
    <n v="105"/>
    <m/>
    <d v="2020-04-29T00:00:00"/>
    <s v="0"/>
    <m/>
    <d v="2020-04-29T00:00:00"/>
    <s v="0"/>
    <m/>
    <m/>
    <s v="0"/>
    <m/>
    <d v="2020-04-29T00:00:00"/>
    <s v="0"/>
    <m/>
    <d v="2020-04-29T00:00:00"/>
    <s v="0"/>
    <m/>
    <m/>
    <m/>
    <d v="2021-12-20T00:00:00"/>
    <d v="2022-03-20T00:00:00"/>
    <n v="3"/>
    <n v="23"/>
    <d v="2022-04-29T00:00:00"/>
    <m/>
    <m/>
    <m/>
    <m/>
    <d v="2022-01-20T00:00:00"/>
    <x v="57"/>
    <x v="8"/>
    <n v="3"/>
    <n v="7287"/>
    <n v="21861"/>
    <m/>
    <n v="0"/>
    <n v="0"/>
    <m/>
    <m/>
    <m/>
    <n v="0"/>
    <m/>
    <m/>
    <s v=" "/>
    <s v="DCE en finalisation pour trouver des économies"/>
    <d v="2022-04-29T00:00:00"/>
    <m/>
    <m/>
    <m/>
    <m/>
    <m/>
    <m/>
    <d v="2023-03-20T00:00:00"/>
    <m/>
    <m/>
    <m/>
    <m/>
    <m/>
    <m/>
    <m/>
    <m/>
    <m/>
    <m/>
    <m/>
    <m/>
    <m/>
    <m/>
    <m/>
    <n v="3179093.429253743"/>
    <n v="3179093.429253743"/>
    <n v="3179093.429253743"/>
    <n v="270000"/>
    <n v="2288.5170278614569"/>
    <n v="176616.30162520794"/>
    <n v="1114914.1197047029"/>
    <m/>
    <n v="61939.67331692794"/>
    <n v="1794179.3095490402"/>
    <n v="332903.04942286824"/>
    <n v="1461276.2601261719"/>
    <n v="99676.628308280007"/>
    <m/>
    <n v="270000"/>
    <m/>
    <n v="8.4929872622013347E-2"/>
    <m/>
    <m/>
    <m/>
    <n v="15000"/>
    <n v="76939.673316927932"/>
    <m/>
    <m/>
    <n v="76939.673316927932"/>
    <m/>
    <n v="76939.673316927932"/>
    <n v="0.43563177695906724"/>
    <m/>
    <m/>
    <n v="0"/>
    <n v="271456.33299999998"/>
    <n v="8.5387969570847544E-2"/>
    <n v="2907637.0962537429"/>
    <n v="200000"/>
    <n v="0.14829898632789448"/>
    <n v="1145828.3699999999"/>
    <n v="-875828.36999999988"/>
    <n v="4.2438087777777778"/>
    <s v="reliquat prix terrain_x000a_1e situation GO et VRD"/>
    <m/>
    <m/>
    <m/>
    <n v="0"/>
    <m/>
    <m/>
    <m/>
    <m/>
    <m/>
    <m/>
    <n v="0"/>
    <m/>
  </r>
  <r>
    <s v="VEFA Miami"/>
    <x v="13"/>
    <x v="1"/>
    <x v="13"/>
    <s v="PRLC 0205"/>
    <s v="MTG"/>
    <s v="MMA"/>
    <x v="8"/>
    <m/>
    <s v="AP 1270 / 1274 / 1280 "/>
    <m/>
    <s v="SEDRE"/>
    <m/>
    <m/>
    <n v="6860"/>
    <n v="1500000"/>
    <n v="1500000"/>
    <n v="25000"/>
    <n v="218.65889212827989"/>
    <n v="218.65889212827989"/>
    <n v="281.6367224244791"/>
    <n v="25000"/>
    <n v="114.33333333333333"/>
    <m/>
    <n v="87.463556851311949"/>
    <m/>
    <m/>
    <m/>
    <x v="3"/>
    <n v="60"/>
    <n v="60"/>
    <m/>
    <m/>
    <n v="60"/>
    <m/>
    <n v="4547.8599999999997"/>
    <n v="5326.01"/>
    <n v="75.797666666666657"/>
    <n v="88.766833333333338"/>
    <n v="11.65"/>
    <n v="9.7899999999999991"/>
    <n v="868.81"/>
    <m/>
    <m/>
    <m/>
    <m/>
    <m/>
    <m/>
    <s v="SO"/>
    <s v="SO"/>
    <m/>
    <s v="collectif"/>
    <s v="oui"/>
    <n v="11010000"/>
    <n v="2420.9188497447153"/>
    <n v="2067.2135425956767"/>
    <n v="183500"/>
    <d v="2018-04-18T00:00:00"/>
    <m/>
    <s v="27/09/2018_x000a_26/02/19"/>
    <d v="2019-05-21T00:00:00"/>
    <d v="2019-03-27T00:00:00"/>
    <d v="2019-06-11T00:00:00"/>
    <m/>
    <n v="2.5333333333333332"/>
    <s v="x"/>
    <d v="2019-10-07T00:00:00"/>
    <d v="2019-12-03T00:00:00"/>
    <n v="1.9"/>
    <n v="104224"/>
    <m/>
    <d v="2019-11-25T00:00:00"/>
    <m/>
    <d v="1901-12-31T00:00:00"/>
    <m/>
    <s v="oui"/>
    <n v="-1465.5"/>
    <n v="0"/>
    <n v="0"/>
    <m/>
    <m/>
    <m/>
    <s v="0"/>
    <m/>
    <m/>
    <s v="0"/>
    <m/>
    <m/>
    <s v="0"/>
    <m/>
    <m/>
    <s v="0"/>
    <m/>
    <m/>
    <s v="0"/>
    <m/>
    <m/>
    <m/>
    <m/>
    <s v="0"/>
    <m/>
    <x v="58"/>
    <x v="7"/>
    <n v="11.3"/>
    <s v="0"/>
    <n v="22"/>
    <n v="23"/>
    <m/>
    <d v="2020-04-29T00:00:00"/>
    <s v="0"/>
    <m/>
    <d v="2020-04-29T00:00:00"/>
    <s v="0"/>
    <m/>
    <d v="2020-04-29T00:00:00"/>
    <s v="0"/>
    <m/>
    <d v="2020-04-29T00:00:00"/>
    <s v="0"/>
    <m/>
    <m/>
    <s v="0"/>
    <m/>
    <d v="2020-04-29T00:00:00"/>
    <s v="0"/>
    <m/>
    <d v="2020-04-29T00:00:00"/>
    <s v="0"/>
    <m/>
    <m/>
    <m/>
    <d v="2022-03-15T00:00:00"/>
    <d v="2022-04-15T00:00:00"/>
    <n v="1.0333333333333334"/>
    <n v="23.866666666666667"/>
    <d v="2022-04-29T00:00:00"/>
    <m/>
    <m/>
    <m/>
    <m/>
    <d v="2022-04-15T00:00:00"/>
    <x v="59"/>
    <x v="8"/>
    <n v="1"/>
    <m/>
    <n v="0"/>
    <m/>
    <m/>
    <n v="0"/>
    <m/>
    <m/>
    <m/>
    <n v="0"/>
    <m/>
    <m/>
    <m/>
    <s v="demande de prêt à faire semaine 09/09"/>
    <d v="2022-04-29T00:00:00"/>
    <m/>
    <m/>
    <m/>
    <m/>
    <m/>
    <m/>
    <d v="2023-04-15T00:00:00"/>
    <m/>
    <m/>
    <m/>
    <m/>
    <m/>
    <m/>
    <m/>
    <m/>
    <m/>
    <m/>
    <m/>
    <m/>
    <m/>
    <m/>
    <m/>
    <n v="11489240.451630197"/>
    <n v="11489240.451630197"/>
    <n v="11489240.451630197"/>
    <n v="0"/>
    <n v="2157.1946826292474"/>
    <n v="191487.34086050329"/>
    <n v="4167541.411448"/>
    <n v="4167541.411448"/>
    <n v="69459.023524133328"/>
    <n v="5974405.0348477028"/>
    <n v="1454945.2152153836"/>
    <n v="4519459.8196323197"/>
    <n v="99573.417247461708"/>
    <n v="1347294.0053344956"/>
    <n v="0"/>
    <m/>
    <n v="0"/>
    <m/>
    <m/>
    <m/>
    <n v="0"/>
    <n v="69459.023524133328"/>
    <m/>
    <m/>
    <n v="69459.023524133328"/>
    <m/>
    <n v="69459.023524133328"/>
    <n v="0.36273428421951703"/>
    <m/>
    <m/>
    <n v="0"/>
    <n v="99590"/>
    <n v="8.6681099955453773E-3"/>
    <n v="11389650.451630197"/>
    <n v="0"/>
    <n v="8.6681099955453773E-3"/>
    <m/>
    <n v="0"/>
    <e v="#DIV/0!"/>
    <m/>
    <m/>
    <m/>
    <m/>
    <n v="0"/>
    <m/>
    <m/>
    <m/>
    <m/>
    <m/>
    <m/>
    <n v="0"/>
    <m/>
  </r>
  <r>
    <s v="Dakota "/>
    <x v="2"/>
    <x v="2"/>
    <x v="2"/>
    <s v="PRLC 0187"/>
    <s v="TQU"/>
    <s v="DAM"/>
    <x v="8"/>
    <m/>
    <s v="EK 250"/>
    <s v="manque terrain communal à acheter en mai 2018 : veiller à ce que les abonnements soient résiliés / prorogation à demander à Mairie"/>
    <m/>
    <m/>
    <m/>
    <n v="1953"/>
    <n v="452000"/>
    <m/>
    <n v="17384.615384615383"/>
    <n v="231.43881208397337"/>
    <n v="0"/>
    <n v="0"/>
    <n v="0"/>
    <n v="75.115384615384613"/>
    <m/>
    <n v="133.12852022529441"/>
    <s v="UB"/>
    <n v="590"/>
    <m/>
    <x v="0"/>
    <n v="26"/>
    <n v="26"/>
    <m/>
    <n v="26"/>
    <m/>
    <m/>
    <n v="1610.5700000000002"/>
    <n v="1719.7449999999999"/>
    <n v="61.945000000000007"/>
    <n v="66.144038461538457"/>
    <n v="5.95"/>
    <n v="5.57"/>
    <n v="368.65"/>
    <m/>
    <n v="1"/>
    <m/>
    <m/>
    <m/>
    <m/>
    <s v="SO"/>
    <m/>
    <n v="4"/>
    <s v="collectif"/>
    <s v="oui"/>
    <m/>
    <m/>
    <m/>
    <m/>
    <d v="2016-11-17T00:00:00"/>
    <m/>
    <d v="2017-02-27T00:00:00"/>
    <s v="27/07/2018_x000a_50 ans"/>
    <d v="2017-03-30T00:00:00"/>
    <d v="2017-08-23T00:00:00"/>
    <d v="2017-09-21T00:00:00"/>
    <n v="4.8666666666666663"/>
    <s v="x"/>
    <m/>
    <m/>
    <n v="0"/>
    <m/>
    <d v="1900-03-31T00:00:00"/>
    <m/>
    <m/>
    <d v="1901-12-31T00:00:00"/>
    <m/>
    <s v="oui"/>
    <n v="-1465.6666666666667"/>
    <s v="0"/>
    <n v="0"/>
    <m/>
    <m/>
    <m/>
    <s v="0"/>
    <m/>
    <m/>
    <s v="0"/>
    <m/>
    <m/>
    <s v="0"/>
    <m/>
    <m/>
    <s v="0"/>
    <m/>
    <m/>
    <s v="0"/>
    <m/>
    <m/>
    <m/>
    <m/>
    <m/>
    <m/>
    <x v="57"/>
    <x v="7"/>
    <n v="36.43333333333333"/>
    <s v="0"/>
    <n v="16"/>
    <n v="20"/>
    <d v="2019-10-01T00:00:00"/>
    <d v="2020-04-29T00:00:00"/>
    <n v="211"/>
    <d v="2019-12-01T00:00:00"/>
    <d v="2020-04-29T00:00:00"/>
    <n v="150"/>
    <m/>
    <d v="2020-04-29T00:00:00"/>
    <s v="0"/>
    <m/>
    <d v="2020-04-29T00:00:00"/>
    <s v="0"/>
    <m/>
    <m/>
    <s v="0"/>
    <m/>
    <d v="2020-04-29T00:00:00"/>
    <s v="0"/>
    <m/>
    <d v="2020-04-29T00:00:00"/>
    <s v="0"/>
    <m/>
    <m/>
    <m/>
    <d v="2021-12-20T00:00:00"/>
    <d v="2022-04-20T00:00:00"/>
    <n v="4.0333333333333332"/>
    <n v="24.033333333333335"/>
    <d v="2022-04-29T00:00:00"/>
    <m/>
    <m/>
    <m/>
    <m/>
    <d v="2022-01-20T00:00:00"/>
    <x v="60"/>
    <x v="8"/>
    <n v="4"/>
    <n v="9653.98"/>
    <n v="38615.919999999998"/>
    <m/>
    <n v="0"/>
    <n v="0"/>
    <m/>
    <m/>
    <m/>
    <n v="0"/>
    <m/>
    <m/>
    <m/>
    <s v="AO en cours infructueux : DCE en cours de modification"/>
    <d v="2022-04-29T00:00:00"/>
    <m/>
    <m/>
    <m/>
    <m/>
    <m/>
    <m/>
    <d v="2023-04-20T00:00:00"/>
    <m/>
    <m/>
    <m/>
    <m/>
    <m/>
    <m/>
    <m/>
    <m/>
    <m/>
    <m/>
    <m/>
    <m/>
    <m/>
    <m/>
    <m/>
    <n v="4194548.7192525212"/>
    <n v="4194548.7192525212"/>
    <n v="4194548.7192525212"/>
    <n v="520000"/>
    <n v="2439.0527195907075"/>
    <n v="161328.79689432774"/>
    <n v="1352602"/>
    <m/>
    <n v="52023.153846153844"/>
    <n v="1801946.7192525216"/>
    <n v="462151.758421515"/>
    <n v="1339794.9608310065"/>
    <n v="69305.643048173908"/>
    <m/>
    <n v="520000"/>
    <m/>
    <n v="0.12397042800176732"/>
    <m/>
    <m/>
    <m/>
    <n v="20000"/>
    <n v="72023.153846153844"/>
    <m/>
    <m/>
    <n v="72023.153846153844"/>
    <m/>
    <n v="72023.153846153844"/>
    <n v="0.44643706041724129"/>
    <m/>
    <m/>
    <n v="520000"/>
    <n v="432081.50281999994"/>
    <n v="0.10301024776200428"/>
    <n v="3762467.2164325211"/>
    <n v="396000"/>
    <n v="0.19741849677873477"/>
    <n v="1400282.29"/>
    <n v="-880282.29"/>
    <n v="2.6928505576923079"/>
    <s v="achat terrain 296 000_x000a_1e situation GO et VRD"/>
    <m/>
    <m/>
    <m/>
    <n v="0"/>
    <m/>
    <m/>
    <m/>
    <m/>
    <m/>
    <m/>
    <n v="0"/>
    <m/>
  </r>
  <r>
    <s v="VEFA ACACIAS LLS"/>
    <x v="2"/>
    <x v="2"/>
    <x v="13"/>
    <s v="PRLC 0209"/>
    <s v="FHO"/>
    <s v="DAM"/>
    <x v="8"/>
    <m/>
    <s v="CI 7"/>
    <m/>
    <m/>
    <m/>
    <m/>
    <n v="1048"/>
    <m/>
    <m/>
    <n v="0"/>
    <n v="0"/>
    <n v="0"/>
    <n v="0"/>
    <n v="0"/>
    <n v="47.636363636363633"/>
    <m/>
    <n v="209.92366412213741"/>
    <s v="UAa"/>
    <n v="520"/>
    <m/>
    <x v="1"/>
    <n v="22"/>
    <n v="22"/>
    <n v="22"/>
    <m/>
    <m/>
    <m/>
    <n v="1604.27"/>
    <n v="1879.27"/>
    <n v="72.921363636363637"/>
    <n v="85.421363636363637"/>
    <m/>
    <m/>
    <m/>
    <m/>
    <m/>
    <n v="0.63636363636363635"/>
    <n v="0.36363636363636365"/>
    <m/>
    <m/>
    <s v="SO"/>
    <s v="SO"/>
    <n v="5"/>
    <s v="collectif"/>
    <s v="oui"/>
    <n v="3818851.9754001913"/>
    <n v="2380.4297128290073"/>
    <n v="2032.0932997388302"/>
    <n v="173584.1807000087"/>
    <d v="2018-11-22T00:00:00"/>
    <m/>
    <d v="2019-02-26T00:00:00"/>
    <d v="2019-09-05T00:00:00"/>
    <d v="2019-03-19T00:00:00"/>
    <d v="2019-11-19T00:00:00"/>
    <m/>
    <n v="8.1666666666666661"/>
    <s v="x"/>
    <d v="2019-12-04T00:00:00"/>
    <d v="2020-02-03T00:00:00"/>
    <n v="2.0333333333333332"/>
    <n v="106176"/>
    <m/>
    <d v="2020-02-07T00:00:00"/>
    <m/>
    <d v="1901-12-31T00:00:00"/>
    <m/>
    <s v="oui"/>
    <n v="-1466.7"/>
    <n v="0"/>
    <n v="0"/>
    <m/>
    <m/>
    <m/>
    <s v="0"/>
    <d v="2019-02-08T00:00:00"/>
    <d v="2019-02-08T00:00:00"/>
    <n v="0"/>
    <m/>
    <m/>
    <s v="0"/>
    <m/>
    <m/>
    <s v="0"/>
    <m/>
    <m/>
    <s v="0"/>
    <m/>
    <m/>
    <m/>
    <m/>
    <s v="0"/>
    <m/>
    <x v="57"/>
    <x v="7"/>
    <n v="9.1666666666666661"/>
    <s v="0"/>
    <n v="21"/>
    <n v="22"/>
    <m/>
    <d v="2020-04-29T00:00:00"/>
    <s v="0"/>
    <m/>
    <d v="2020-04-29T00:00:00"/>
    <s v="0"/>
    <m/>
    <d v="2020-04-29T00:00:00"/>
    <s v="0"/>
    <m/>
    <d v="2020-04-29T00:00:00"/>
    <s v="0"/>
    <m/>
    <m/>
    <s v="0"/>
    <m/>
    <d v="2020-04-29T00:00:00"/>
    <s v="0"/>
    <m/>
    <d v="2020-04-29T00:00:00"/>
    <s v="0"/>
    <m/>
    <m/>
    <m/>
    <d v="2022-05-20T00:00:00"/>
    <d v="2022-06-20T00:00:00"/>
    <n v="1.0333333333333334"/>
    <n v="26.066666666666666"/>
    <d v="2022-04-29T00:00:00"/>
    <m/>
    <m/>
    <m/>
    <m/>
    <d v="2022-06-20T00:00:00"/>
    <x v="61"/>
    <x v="8"/>
    <n v="0"/>
    <m/>
    <n v="0"/>
    <m/>
    <m/>
    <m/>
    <m/>
    <m/>
    <m/>
    <n v="0"/>
    <m/>
    <m/>
    <m/>
    <s v="attente arrêté PC pour que dossier soit transmis au contrôle siège DEAL"/>
    <d v="2022-04-29T00:00:00"/>
    <m/>
    <m/>
    <m/>
    <m/>
    <m/>
    <m/>
    <d v="2023-06-20T00:00:00"/>
    <m/>
    <m/>
    <m/>
    <m/>
    <m/>
    <m/>
    <m/>
    <m/>
    <m/>
    <m/>
    <m/>
    <m/>
    <m/>
    <m/>
    <m/>
    <n v="4002398"/>
    <n v="4002398"/>
    <n v="4002398"/>
    <n v="440000"/>
    <n v="2129.7620884705229"/>
    <n v="181927.18181818182"/>
    <n v="1274049"/>
    <n v="1274049.6455190163"/>
    <n v="57911.318181818184"/>
    <n v="2288349"/>
    <n v="380067"/>
    <n v="1908282"/>
    <n v="104015.86363636363"/>
    <m/>
    <n v="440000"/>
    <m/>
    <n v="0.10993409451034106"/>
    <m/>
    <m/>
    <m/>
    <n v="20000"/>
    <n v="77911.318181818177"/>
    <m/>
    <m/>
    <n v="77911.318181818177"/>
    <m/>
    <n v="77911.318181818177"/>
    <n v="0.42825551082126267"/>
    <m/>
    <m/>
    <m/>
    <n v="48605"/>
    <n v="1.2143969690170743E-2"/>
    <n v="3953793"/>
    <n v="0"/>
    <n v="1.2143969690170743E-2"/>
    <m/>
    <n v="440000"/>
    <n v="0"/>
    <m/>
    <m/>
    <m/>
    <m/>
    <n v="0"/>
    <m/>
    <m/>
    <m/>
    <m/>
    <m/>
    <m/>
    <n v="0"/>
    <m/>
  </r>
  <r>
    <s v="VEFA ACACIAS LLTS"/>
    <x v="2"/>
    <x v="2"/>
    <x v="13"/>
    <s v="PRLC 0209"/>
    <m/>
    <m/>
    <x v="5"/>
    <m/>
    <m/>
    <m/>
    <m/>
    <m/>
    <m/>
    <n v="1048"/>
    <m/>
    <m/>
    <n v="0"/>
    <n v="0"/>
    <n v="0"/>
    <n v="0"/>
    <n v="0"/>
    <n v="80.615384615384613"/>
    <m/>
    <n v="124.04580152671755"/>
    <s v="UAa"/>
    <n v="520"/>
    <m/>
    <x v="0"/>
    <n v="13"/>
    <n v="13"/>
    <m/>
    <n v="13"/>
    <m/>
    <m/>
    <n v="612.77"/>
    <n v="815.16"/>
    <n v="47.136153846153846"/>
    <n v="62.70461538461538"/>
    <m/>
    <m/>
    <m/>
    <m/>
    <n v="1"/>
    <m/>
    <m/>
    <m/>
    <m/>
    <s v="SO"/>
    <s v="SO"/>
    <n v="5"/>
    <s v="collectif"/>
    <s v="oui"/>
    <n v="1552984.0245998099"/>
    <n v="2534.3669314747949"/>
    <n v="1905.1278578436256"/>
    <n v="119460.30958460076"/>
    <m/>
    <m/>
    <d v="2019-02-26T00:00:00"/>
    <d v="2019-09-05T00:00:00"/>
    <d v="2019-03-19T00:00:00"/>
    <d v="2019-11-19T00:00:00"/>
    <m/>
    <n v="8.1666666666666661"/>
    <s v="x"/>
    <d v="2019-12-04T00:00:00"/>
    <d v="2020-02-03T00:00:00"/>
    <n v="2.0333333333333332"/>
    <n v="106174"/>
    <m/>
    <d v="2020-02-07T00:00:00"/>
    <m/>
    <d v="1901-12-31T00:00:00"/>
    <m/>
    <s v="oui"/>
    <n v="-1466.7"/>
    <n v="0"/>
    <n v="0"/>
    <m/>
    <m/>
    <m/>
    <s v="0"/>
    <m/>
    <m/>
    <s v="0"/>
    <m/>
    <m/>
    <s v="0"/>
    <m/>
    <m/>
    <s v="0"/>
    <m/>
    <m/>
    <s v="0"/>
    <m/>
    <m/>
    <m/>
    <m/>
    <s v="0"/>
    <m/>
    <x v="57"/>
    <x v="7"/>
    <n v="9.1666666666666661"/>
    <s v="0"/>
    <n v="21"/>
    <n v="22"/>
    <m/>
    <d v="2020-04-29T00:00:00"/>
    <s v="0"/>
    <m/>
    <d v="2020-04-29T00:00:00"/>
    <s v="0"/>
    <m/>
    <d v="2020-04-29T00:00:00"/>
    <m/>
    <m/>
    <d v="2020-04-29T00:00:00"/>
    <s v="0"/>
    <m/>
    <m/>
    <s v="0"/>
    <m/>
    <d v="2020-04-29T00:00:00"/>
    <s v="0"/>
    <m/>
    <d v="2020-04-29T00:00:00"/>
    <s v="0"/>
    <m/>
    <m/>
    <m/>
    <d v="2022-05-20T00:00:00"/>
    <d v="2022-06-20T00:00:00"/>
    <n v="1.0333333333333334"/>
    <n v="26.066666666666666"/>
    <d v="2022-04-29T00:00:00"/>
    <m/>
    <m/>
    <m/>
    <m/>
    <d v="2022-06-20T00:00:00"/>
    <x v="61"/>
    <x v="8"/>
    <n v="0"/>
    <m/>
    <n v="0"/>
    <m/>
    <m/>
    <m/>
    <m/>
    <m/>
    <m/>
    <n v="0"/>
    <m/>
    <m/>
    <m/>
    <s v="attente arrêté PC pour que dossier soit transmis au contrôle siège DEAL"/>
    <d v="2022-04-29T00:00:00"/>
    <m/>
    <m/>
    <m/>
    <m/>
    <m/>
    <m/>
    <d v="2023-06-20T00:00:00"/>
    <m/>
    <m/>
    <m/>
    <m/>
    <m/>
    <m/>
    <m/>
    <m/>
    <m/>
    <m/>
    <m/>
    <m/>
    <m/>
    <m/>
    <m/>
    <n v="1639513"/>
    <n v="1639513"/>
    <n v="1639513"/>
    <n v="325000"/>
    <n v="2011.2775406055255"/>
    <n v="126116.38461538461"/>
    <n v="467856"/>
    <n v="467856.31809465517"/>
    <n v="35988.923076923078"/>
    <n v="846657"/>
    <n v="140403"/>
    <n v="706254"/>
    <n v="65127.461538461539"/>
    <m/>
    <n v="325000"/>
    <m/>
    <n v="0.19822959622766029"/>
    <m/>
    <m/>
    <m/>
    <n v="25000"/>
    <n v="60988.923076923078"/>
    <m/>
    <m/>
    <n v="60988.923076923078"/>
    <m/>
    <n v="60988.923076923078"/>
    <n v="0.48359238383593178"/>
    <m/>
    <m/>
    <m/>
    <m/>
    <n v="0"/>
    <n v="1639513"/>
    <n v="0"/>
    <n v="0"/>
    <m/>
    <n v="325000"/>
    <n v="0"/>
    <m/>
    <m/>
    <m/>
    <m/>
    <n v="0"/>
    <m/>
    <m/>
    <m/>
    <m/>
    <m/>
    <m/>
    <n v="0"/>
    <m/>
  </r>
  <r>
    <s v="VEFA EPICEA BX 26"/>
    <x v="2"/>
    <x v="2"/>
    <x v="13"/>
    <s v="PRLC 0208"/>
    <s v="FHO"/>
    <s v="DBA"/>
    <x v="9"/>
    <m/>
    <s v="BX 26"/>
    <m/>
    <m/>
    <m/>
    <m/>
    <n v="1278"/>
    <m/>
    <m/>
    <n v="0"/>
    <n v="0"/>
    <n v="0"/>
    <n v="0"/>
    <n v="0"/>
    <n v="31.170731707317074"/>
    <m/>
    <n v="320.81377151799688"/>
    <s v="UAa"/>
    <m/>
    <m/>
    <x v="0"/>
    <n v="41"/>
    <n v="41"/>
    <m/>
    <n v="41"/>
    <m/>
    <m/>
    <n v="2615.13"/>
    <n v="3127.87"/>
    <n v="63.783658536585371"/>
    <n v="76.289512195121944"/>
    <m/>
    <m/>
    <m/>
    <m/>
    <n v="0.3902439024390244"/>
    <n v="0.46341463414634149"/>
    <n v="0.14634146341463414"/>
    <m/>
    <m/>
    <s v="SO"/>
    <s v="SO"/>
    <m/>
    <s v="collectif"/>
    <s v="oui"/>
    <n v="6200000"/>
    <n v="2370.8190415008048"/>
    <n v="1982.1795662863226"/>
    <n v="151219.51219512196"/>
    <m/>
    <m/>
    <d v="2019-02-26T00:00:00"/>
    <m/>
    <d v="2019-03-29T00:00:00"/>
    <d v="2019-09-05T00:00:00"/>
    <d v="2019-09-16T00:00:00"/>
    <n v="5.333333333333333"/>
    <s v="x"/>
    <d v="2019-10-03T00:00:00"/>
    <d v="2019-11-15T00:00:00"/>
    <n v="1.4333333333333333"/>
    <n v="103386"/>
    <m/>
    <d v="2019-11-25T00:00:00"/>
    <m/>
    <d v="1901-12-31T00:00:00"/>
    <m/>
    <s v="oui"/>
    <n v="-1466.7"/>
    <n v="0"/>
    <n v="0"/>
    <m/>
    <m/>
    <m/>
    <s v="0"/>
    <d v="2019-02-08T00:00:00"/>
    <d v="2019-02-08T00:00:00"/>
    <n v="0"/>
    <m/>
    <m/>
    <s v="0"/>
    <m/>
    <m/>
    <s v="0"/>
    <m/>
    <m/>
    <s v="0"/>
    <m/>
    <m/>
    <m/>
    <m/>
    <s v="0"/>
    <m/>
    <x v="62"/>
    <x v="7"/>
    <n v="10.633333333333333"/>
    <s v="0"/>
    <n v="21"/>
    <n v="22"/>
    <m/>
    <d v="2020-04-29T00:00:00"/>
    <s v="0"/>
    <m/>
    <d v="2020-04-29T00:00:00"/>
    <s v="0"/>
    <m/>
    <d v="2020-04-29T00:00:00"/>
    <s v="0"/>
    <m/>
    <d v="2020-04-29T00:00:00"/>
    <s v="0"/>
    <m/>
    <m/>
    <s v="0"/>
    <m/>
    <d v="2020-04-29T00:00:00"/>
    <s v="0"/>
    <m/>
    <d v="2020-04-29T00:00:00"/>
    <s v="0"/>
    <m/>
    <m/>
    <m/>
    <d v="2022-04-20T00:00:00"/>
    <d v="2022-05-20T00:00:00"/>
    <n v="1"/>
    <n v="25.033333333333335"/>
    <d v="2022-04-29T00:00:00"/>
    <m/>
    <m/>
    <m/>
    <m/>
    <d v="2022-05-20T00:00:00"/>
    <x v="61"/>
    <x v="8"/>
    <n v="1.0333333333333334"/>
    <m/>
    <n v="0"/>
    <m/>
    <m/>
    <m/>
    <m/>
    <m/>
    <m/>
    <n v="0"/>
    <m/>
    <m/>
    <m/>
    <s v="en contrôle siège DEAL - promoteur négocie prise en charge désamiantage par vendeur foncier"/>
    <d v="2022-04-29T00:00:00"/>
    <m/>
    <m/>
    <m/>
    <m/>
    <m/>
    <m/>
    <d v="2023-05-20T00:00:00"/>
    <m/>
    <m/>
    <m/>
    <m/>
    <m/>
    <m/>
    <m/>
    <m/>
    <m/>
    <m/>
    <m/>
    <m/>
    <m/>
    <m/>
    <m/>
    <n v="6488469.7325947993"/>
    <n v="6488469.7325947993"/>
    <n v="6488469.7325947993"/>
    <n v="1230000"/>
    <n v="2074.4051807123697"/>
    <n v="158255.35933158046"/>
    <n v="1818290.8517983221"/>
    <n v="1818291"/>
    <n v="44348.557360934683"/>
    <n v="3440178.8807964772"/>
    <n v="687027.33458103053"/>
    <n v="2753151.5462154467"/>
    <n v="83906.801970645785"/>
    <m/>
    <n v="1230000"/>
    <m/>
    <n v="0.18956703979385162"/>
    <m/>
    <m/>
    <m/>
    <n v="30000"/>
    <n v="74348.55736093469"/>
    <m/>
    <m/>
    <n v="74348.55736093469"/>
    <m/>
    <n v="74348.55736093469"/>
    <n v="0.46980119772852547"/>
    <m/>
    <m/>
    <m/>
    <n v="56255"/>
    <n v="8.6699949785391233E-3"/>
    <n v="6432214.7325947993"/>
    <n v="0"/>
    <n v="8.6699949785391233E-3"/>
    <m/>
    <n v="1230000"/>
    <n v="0"/>
    <m/>
    <m/>
    <m/>
    <m/>
    <n v="0"/>
    <m/>
    <m/>
    <m/>
    <m/>
    <m/>
    <m/>
    <n v="0"/>
    <m/>
  </r>
  <r>
    <s v="VEFA ALVERDY"/>
    <x v="2"/>
    <x v="2"/>
    <x v="12"/>
    <m/>
    <s v="MTG"/>
    <s v="DBE"/>
    <x v="7"/>
    <m/>
    <s v="BX 1134"/>
    <s v="CPV en cours_x000a_portage EPFR à prévoir"/>
    <m/>
    <m/>
    <m/>
    <n v="912"/>
    <m/>
    <m/>
    <n v="0"/>
    <n v="0"/>
    <n v="0"/>
    <n v="0"/>
    <n v="0"/>
    <n v="30.4"/>
    <m/>
    <n v="328.94736842105266"/>
    <s v="UAa"/>
    <n v="520"/>
    <n v="0.1"/>
    <x v="1"/>
    <n v="30"/>
    <n v="30"/>
    <n v="30"/>
    <m/>
    <m/>
    <m/>
    <n v="2082.89"/>
    <n v="2457.39"/>
    <n v="69.429666666666662"/>
    <n v="81.912999999999997"/>
    <n v="6.77"/>
    <n v="6.18"/>
    <m/>
    <m/>
    <m/>
    <m/>
    <m/>
    <m/>
    <m/>
    <s v="SO"/>
    <s v="SO"/>
    <n v="5.5"/>
    <s v="collectif"/>
    <s v="oui"/>
    <n v="5000788.6536800005"/>
    <n v="2400.8894630441359"/>
    <n v="2035.0000014975242"/>
    <n v="166692.9551226667"/>
    <m/>
    <m/>
    <d v="2019-12-17T00:00:00"/>
    <m/>
    <m/>
    <m/>
    <m/>
    <n v="0"/>
    <s v="x"/>
    <m/>
    <m/>
    <n v="0"/>
    <m/>
    <m/>
    <m/>
    <m/>
    <d v="1901-12-31T00:00:00"/>
    <m/>
    <s v="oui"/>
    <n v="-1470.1333333333334"/>
    <n v="0"/>
    <n v="0"/>
    <m/>
    <d v="2019-08-19T00:00:00"/>
    <d v="2019-08-29T00:00:00"/>
    <n v="10"/>
    <m/>
    <m/>
    <s v="0"/>
    <m/>
    <d v="2020-04-29T00:00:00"/>
    <s v="0"/>
    <m/>
    <d v="2020-04-29T00:00:00"/>
    <s v="0"/>
    <m/>
    <d v="2020-04-29T00:00:00"/>
    <s v="0"/>
    <m/>
    <m/>
    <m/>
    <m/>
    <s v="0"/>
    <d v="2021-02-01T00:00:00"/>
    <x v="63"/>
    <x v="7"/>
    <n v="1474.2666666666667"/>
    <n v="0"/>
    <n v="16"/>
    <n v="19"/>
    <m/>
    <d v="2020-04-29T00:00:00"/>
    <s v="0"/>
    <m/>
    <d v="2020-04-29T00:00:00"/>
    <s v="0"/>
    <m/>
    <d v="2020-04-29T00:00:00"/>
    <s v="0"/>
    <m/>
    <d v="2020-04-29T00:00:00"/>
    <s v="0"/>
    <m/>
    <m/>
    <s v="0"/>
    <m/>
    <d v="2020-04-29T00:00:00"/>
    <s v="0"/>
    <m/>
    <d v="2020-04-29T00:00:00"/>
    <s v="0"/>
    <m/>
    <m/>
    <m/>
    <d v="2022-06-01T00:00:00"/>
    <d v="2022-09-01T00:00:00"/>
    <n v="3.0666666666666669"/>
    <n v="28.5"/>
    <d v="2022-04-29T00:00:00"/>
    <m/>
    <m/>
    <d v="2023-01-03T00:00:00"/>
    <m/>
    <d v="2022-08-01T00:00:00"/>
    <x v="62"/>
    <x v="8"/>
    <n v="2.0333333333333332"/>
    <m/>
    <n v="0"/>
    <m/>
    <m/>
    <m/>
    <m/>
    <m/>
    <m/>
    <n v="0"/>
    <m/>
    <m/>
    <m/>
    <m/>
    <d v="2022-04-29T00:00:00"/>
    <m/>
    <m/>
    <m/>
    <m/>
    <m/>
    <m/>
    <d v="2023-09-01T00:00:00"/>
    <m/>
    <m/>
    <m/>
    <m/>
    <m/>
    <m/>
    <m/>
    <m/>
    <m/>
    <m/>
    <m/>
    <m/>
    <m/>
    <m/>
    <m/>
    <n v="5222896.6400000006"/>
    <n v="5222896.6400000006"/>
    <n v="5222896.6400000006"/>
    <n v="750000"/>
    <n v="2125.383695709676"/>
    <n v="174096.55466666669"/>
    <n v="1529942"/>
    <m/>
    <n v="50998.066666666666"/>
    <n v="2942954.64"/>
    <n v="412796.04"/>
    <n v="2530158.6"/>
    <n v="98098.487999999998"/>
    <m/>
    <n v="750000"/>
    <m/>
    <n v="0.14359847641939932"/>
    <m/>
    <m/>
    <m/>
    <n v="25000"/>
    <n v="75998.066666666666"/>
    <m/>
    <m/>
    <n v="75998.066666666666"/>
    <m/>
    <n v="75998.066666666666"/>
    <n v="0.43652826336613082"/>
    <m/>
    <m/>
    <m/>
    <m/>
    <n v="0"/>
    <n v="5222896.6400000006"/>
    <n v="100000"/>
    <n v="1.9146463522586574E-2"/>
    <m/>
    <n v="750000"/>
    <n v="0"/>
    <m/>
    <m/>
    <m/>
    <m/>
    <m/>
    <m/>
    <m/>
    <m/>
    <m/>
    <m/>
    <m/>
    <m/>
    <m/>
  </r>
  <r>
    <s v="Takamaka"/>
    <x v="8"/>
    <x v="2"/>
    <x v="5"/>
    <s v="PRLC 0093"/>
    <s v="FHO"/>
    <s v="VAF"/>
    <x v="0"/>
    <m/>
    <m/>
    <s v="lots à vendre : CA EPFR début 2017_x000a_LES : mise en demeure adressée à l'acquéreur faute de quoi classement du dossier"/>
    <s v="SODEGIS"/>
    <s v="DUBOIS"/>
    <s v="ok"/>
    <n v="4625"/>
    <n v="215000"/>
    <n v="104244"/>
    <n v="15357.142857142857"/>
    <n v="46.486486486486484"/>
    <n v="22.539243243243245"/>
    <n v="89.684215959977479"/>
    <n v="7446"/>
    <n v="330.35714285714283"/>
    <n v="1148.97"/>
    <n v="30.27027027027027"/>
    <s v="UCa"/>
    <n v="20"/>
    <m/>
    <x v="0"/>
    <n v="14"/>
    <n v="14"/>
    <m/>
    <n v="14"/>
    <m/>
    <m/>
    <n v="1141.9099999999999"/>
    <n v="1162.3449999999998"/>
    <n v="81.564999999999984"/>
    <n v="83.024642857142837"/>
    <n v="5.2"/>
    <n v="5.1100000000000003"/>
    <n v="424.27657409999989"/>
    <m/>
    <m/>
    <m/>
    <m/>
    <m/>
    <m/>
    <n v="551.16"/>
    <n v="0.11916972972972972"/>
    <n v="1.5"/>
    <s v="MDV"/>
    <s v="non"/>
    <m/>
    <m/>
    <m/>
    <m/>
    <d v="2012-11-20T00:00:00"/>
    <m/>
    <d v="2012-02-24T00:00:00"/>
    <m/>
    <d v="2013-03-30T00:00:00"/>
    <d v="2013-08-29T00:00:00"/>
    <m/>
    <n v="5.0666666666666664"/>
    <m/>
    <d v="2013-10-02T00:00:00"/>
    <d v="2013-10-28T00:00:00"/>
    <n v="0.8666666666666667"/>
    <m/>
    <d v="2014-01-28T00:00:00"/>
    <m/>
    <d v="2014-02-01T00:00:00"/>
    <d v="2016-02-01T00:00:00"/>
    <m/>
    <s v="non"/>
    <n v="2.9333333333333331"/>
    <n v="17950.253697875891"/>
    <n v="-17950.253697875891"/>
    <m/>
    <m/>
    <m/>
    <s v="0"/>
    <m/>
    <m/>
    <s v="0"/>
    <m/>
    <m/>
    <s v="0"/>
    <m/>
    <m/>
    <s v="0"/>
    <m/>
    <m/>
    <s v="0"/>
    <m/>
    <m/>
    <m/>
    <m/>
    <s v="0"/>
    <m/>
    <x v="64"/>
    <x v="6"/>
    <n v="11.1"/>
    <s v="0"/>
    <n v="14"/>
    <n v="14"/>
    <m/>
    <m/>
    <s v="0"/>
    <m/>
    <m/>
    <s v="0"/>
    <m/>
    <m/>
    <s v="0"/>
    <m/>
    <m/>
    <s v="0"/>
    <m/>
    <m/>
    <s v="0"/>
    <m/>
    <m/>
    <s v="0"/>
    <m/>
    <m/>
    <s v="0"/>
    <m/>
    <m/>
    <m/>
    <d v="2015-09-28T00:00:00"/>
    <d v="2015-09-29T00:00:00"/>
    <n v="3.3333333333333333E-2"/>
    <m/>
    <m/>
    <d v="2015-11-25T00:00:00"/>
    <s v="ok"/>
    <m/>
    <m/>
    <d v="2015-10-28T00:00:00"/>
    <x v="63"/>
    <x v="5"/>
    <n v="0.26666666666666666"/>
    <n v="6119.4046697304175"/>
    <n v="1631.8412452614446"/>
    <m/>
    <m/>
    <n v="23860"/>
    <m/>
    <m/>
    <n v="66160.799999999988"/>
    <n v="2.7264579017489746E-2"/>
    <m/>
    <s v="Lot Cloison : PRE par DROZ_x000a_ soit 1 sur 15"/>
    <m/>
    <s v="lot LES + lot communal à commercialiser"/>
    <d v="1901-12-31T00:00:00"/>
    <d v="2016-12-21T00:00:00"/>
    <d v="2016-06-15T00:00:00"/>
    <s v="ok"/>
    <s v="ok"/>
    <d v="2016-07-04T00:00:00"/>
    <d v="2017-05-15T00:00:00"/>
    <d v="2016-10-17T00:00:00"/>
    <n v="13313"/>
    <d v="2015-11-16T00:00:00"/>
    <d v="2016-02-02T00:00:00"/>
    <m/>
    <m/>
    <m/>
    <d v="2016-03-30T00:00:00"/>
    <m/>
    <s v="dossier transmis à OFOI 05/09/16"/>
    <s v="à déposer"/>
    <s v="ok"/>
    <m/>
    <s v="ok"/>
    <m/>
    <n v="2360150.41"/>
    <n v="2426621"/>
    <n v="2426621"/>
    <n v="2426621"/>
    <n v="500000"/>
    <n v="2087.6942732149237"/>
    <n v="173330.07142857142"/>
    <n v="642565"/>
    <m/>
    <n v="45897.5"/>
    <n v="1260196"/>
    <n v="284216"/>
    <n v="975980"/>
    <n v="90014"/>
    <m/>
    <n v="500000"/>
    <m/>
    <n v="0.20604783359247283"/>
    <m/>
    <m/>
    <n v="0"/>
    <n v="35714.285714285717"/>
    <n v="81611.78571428571"/>
    <n v="461213.14905750001"/>
    <n v="238500"/>
    <e v="#REF!"/>
    <n v="0"/>
    <n v="98647.5"/>
    <n v="0.49653574328412386"/>
    <n v="106433.17505000001"/>
    <m/>
    <n v="23860"/>
    <m/>
    <n v="0"/>
    <n v="2426621"/>
    <n v="2426621"/>
    <m/>
    <m/>
    <n v="500000"/>
    <n v="0"/>
    <m/>
    <m/>
    <m/>
    <m/>
    <n v="0"/>
    <m/>
    <m/>
    <m/>
    <m/>
    <m/>
    <m/>
    <n v="0"/>
    <m/>
  </r>
  <r>
    <s v="Tamariniers LLS"/>
    <x v="1"/>
    <x v="1"/>
    <x v="5"/>
    <s v="PRLC 0113"/>
    <s v="TQU"/>
    <s v="VAF"/>
    <x v="0"/>
    <m/>
    <s v="CX 671 / 1141"/>
    <s v="BJE récupère les pièces avec FBR_x000a_attente tableau des ventes de FBR_x000a_Rétrocession du chemin de l'amitié à faire_x000a_attente conformité des lots"/>
    <s v="EPFR"/>
    <s v="POPINEAU"/>
    <m/>
    <n v="18523"/>
    <n v="492000"/>
    <n v="699015"/>
    <n v="13297.297297297297"/>
    <n v="26.56157209955191"/>
    <n v="37.737677482049342"/>
    <n v="109.80494724291822"/>
    <n v="9446.1486486486483"/>
    <n v="250.31081081081081"/>
    <m/>
    <n v="19.975166009825621"/>
    <s v="Aub"/>
    <m/>
    <m/>
    <x v="1"/>
    <n v="37"/>
    <n v="37"/>
    <n v="37"/>
    <m/>
    <m/>
    <m/>
    <n v="3242.2099999999996"/>
    <n v="3588.5999999999995"/>
    <n v="87.627297297297289"/>
    <n v="96.989189189189176"/>
    <n v="6.79"/>
    <n v="6.1377656857827567"/>
    <n v="595.29691729729723"/>
    <m/>
    <m/>
    <m/>
    <m/>
    <m/>
    <n v="3236"/>
    <m/>
    <n v="0"/>
    <n v="3.5"/>
    <s v="collectif"/>
    <s v="oui"/>
    <m/>
    <m/>
    <m/>
    <m/>
    <d v="2012-09-18T00:00:00"/>
    <m/>
    <d v="2012-02-24T00:00:00"/>
    <m/>
    <d v="2013-03-30T00:00:00"/>
    <d v="2013-08-07T00:00:00"/>
    <m/>
    <n v="4.333333333333333"/>
    <m/>
    <d v="2013-10-02T00:00:00"/>
    <d v="2013-10-29T00:00:00"/>
    <n v="0.9"/>
    <m/>
    <d v="2014-01-29T00:00:00"/>
    <m/>
    <d v="2014-02-01T00:00:00"/>
    <d v="2016-02-01T00:00:00"/>
    <m/>
    <s v="oui"/>
    <n v="-10.1"/>
    <s v="0"/>
    <n v="0"/>
    <m/>
    <m/>
    <m/>
    <s v="0"/>
    <m/>
    <m/>
    <s v="0"/>
    <m/>
    <m/>
    <s v="0"/>
    <m/>
    <m/>
    <s v="0"/>
    <m/>
    <m/>
    <s v="0"/>
    <m/>
    <m/>
    <m/>
    <m/>
    <s v="0"/>
    <m/>
    <x v="65"/>
    <x v="6"/>
    <n v="10.266666666666667"/>
    <s v="0"/>
    <n v="24"/>
    <n v="28"/>
    <m/>
    <m/>
    <s v="0"/>
    <m/>
    <m/>
    <s v="0"/>
    <m/>
    <m/>
    <s v="0"/>
    <m/>
    <m/>
    <s v="0"/>
    <m/>
    <m/>
    <s v="0"/>
    <m/>
    <m/>
    <s v="0"/>
    <m/>
    <m/>
    <s v="0"/>
    <m/>
    <m/>
    <m/>
    <d v="2016-06-11T00:00:00"/>
    <d v="2016-11-08T00:00:00"/>
    <n v="5"/>
    <m/>
    <m/>
    <d v="2016-12-22T00:00:00"/>
    <d v="2016-06-17T00:00:00"/>
    <d v="2016-11-18T00:00:00"/>
    <m/>
    <d v="2016-07-11T00:00:00"/>
    <x v="64"/>
    <x v="6"/>
    <n v="4.7333333333333334"/>
    <n v="23136.729423819084"/>
    <n v="109513.85260607699"/>
    <d v="2016-10-27T00:00:00"/>
    <m/>
    <n v="0"/>
    <m/>
    <m/>
    <n v="131109.67299999998"/>
    <n v="9.6389719953015856E-3"/>
    <m/>
    <m/>
    <m/>
    <m/>
    <d v="1901-12-31T00:00:00"/>
    <s v="ok"/>
    <s v="ok"/>
    <s v="ok"/>
    <s v="ok"/>
    <d v="2018-05-04T00:00:00"/>
    <s v="ok"/>
    <d v="2017-11-08T00:00:00"/>
    <n v="91095"/>
    <d v="2017-03-01T00:00:00"/>
    <m/>
    <m/>
    <m/>
    <m/>
    <m/>
    <m/>
    <s v="élément transmis à OFOI 03/10/17"/>
    <s v="à déposer"/>
    <s v="ok"/>
    <m/>
    <s v="ok"/>
    <m/>
    <n v="6447379"/>
    <n v="7137960"/>
    <n v="7137960"/>
    <n v="7137960"/>
    <n v="1"/>
    <n v="1989.0653736833308"/>
    <n v="192917.83783783784"/>
    <n v="2453735"/>
    <m/>
    <n v="66317.16216216216"/>
    <n v="4684224"/>
    <n v="641413"/>
    <n v="4042811"/>
    <n v="126600.64864864865"/>
    <m/>
    <n v="1"/>
    <m/>
    <n v="1.4009604985177837E-7"/>
    <m/>
    <m/>
    <n v="0"/>
    <n v="2.7027027027027029E-2"/>
    <n v="66317.189189189186"/>
    <n v="2196102.662575"/>
    <n v="1303101.6922500001"/>
    <e v="#REF!"/>
    <n v="0"/>
    <n v="101536.15384459461"/>
    <n v="0.41994795777936861"/>
    <n v="388102.52"/>
    <m/>
    <n v="0"/>
    <m/>
    <n v="0"/>
    <n v="7137960"/>
    <n v="7137960"/>
    <m/>
    <m/>
    <n v="1"/>
    <n v="0"/>
    <m/>
    <m/>
    <m/>
    <m/>
    <n v="0"/>
    <m/>
    <m/>
    <m/>
    <m/>
    <m/>
    <m/>
    <n v="0"/>
    <m/>
  </r>
  <r>
    <s v="Tamariniers LLTS"/>
    <x v="1"/>
    <x v="1"/>
    <x v="5"/>
    <s v="PRLC 0113"/>
    <s v="TQU"/>
    <m/>
    <x v="0"/>
    <m/>
    <s v="CX 671 / 1141"/>
    <m/>
    <s v="EPFR"/>
    <s v="POPINEAU"/>
    <m/>
    <m/>
    <m/>
    <m/>
    <m/>
    <m/>
    <m/>
    <m/>
    <m/>
    <m/>
    <m/>
    <e v="#DIV/0!"/>
    <m/>
    <m/>
    <m/>
    <x v="0"/>
    <n v="44"/>
    <n v="44"/>
    <m/>
    <n v="44"/>
    <m/>
    <m/>
    <n v="3100.0900000000011"/>
    <n v="3544.2900000000009"/>
    <n v="70.456590909090934"/>
    <n v="80.552045454545478"/>
    <n v="5.8912336179917348"/>
    <n v="5.15"/>
    <n v="415.07623697272737"/>
    <m/>
    <m/>
    <m/>
    <m/>
    <m/>
    <m/>
    <m/>
    <e v="#DIV/0!"/>
    <n v="3.5"/>
    <s v="collectif"/>
    <s v="oui"/>
    <m/>
    <m/>
    <m/>
    <m/>
    <d v="2012-09-18T00:00:00"/>
    <m/>
    <d v="2012-02-24T00:00:00"/>
    <m/>
    <d v="2013-03-30T00:00:00"/>
    <d v="2013-07-10T00:00:00"/>
    <m/>
    <n v="3.4"/>
    <m/>
    <d v="2013-10-02T00:00:00"/>
    <d v="2013-11-05T00:00:00"/>
    <n v="1.1333333333333333"/>
    <m/>
    <d v="2014-02-05T00:00:00"/>
    <m/>
    <d v="2014-03-01T00:00:00"/>
    <d v="2016-03-01T00:00:00"/>
    <n v="111237"/>
    <s v="oui"/>
    <n v="-9.1333333333333329"/>
    <s v="0"/>
    <n v="111237"/>
    <m/>
    <m/>
    <m/>
    <s v="0"/>
    <m/>
    <m/>
    <s v="0"/>
    <m/>
    <m/>
    <s v="0"/>
    <m/>
    <m/>
    <s v="0"/>
    <m/>
    <m/>
    <s v="0"/>
    <m/>
    <m/>
    <m/>
    <m/>
    <s v="0"/>
    <m/>
    <x v="65"/>
    <x v="6"/>
    <n v="11.2"/>
    <s v="0"/>
    <n v="24"/>
    <n v="28"/>
    <m/>
    <m/>
    <s v="0"/>
    <m/>
    <m/>
    <s v="0"/>
    <m/>
    <m/>
    <s v="0"/>
    <m/>
    <m/>
    <s v="0"/>
    <m/>
    <m/>
    <s v="0"/>
    <m/>
    <m/>
    <s v="0"/>
    <m/>
    <m/>
    <s v="0"/>
    <m/>
    <m/>
    <m/>
    <d v="2016-06-11T00:00:00"/>
    <d v="2016-11-08T00:00:00"/>
    <n v="5"/>
    <m/>
    <m/>
    <d v="2016-12-22T00:00:00"/>
    <d v="2016-06-17T00:00:00"/>
    <d v="2016-11-18T00:00:00"/>
    <m/>
    <d v="2016-07-11T00:00:00"/>
    <x v="64"/>
    <x v="6"/>
    <n v="4.7333333333333334"/>
    <n v="17948.329338702748"/>
    <n v="84955.425536526338"/>
    <d v="2016-10-27T00:00:00"/>
    <m/>
    <n v="0"/>
    <m/>
    <m/>
    <m/>
    <m/>
    <m/>
    <s v="Lot élec : Eneris par Espace Soleil_x000a_Soit 1 sur 15_x000a_4 RO"/>
    <m/>
    <m/>
    <d v="1901-12-31T00:00:00"/>
    <s v="ok"/>
    <s v="ok"/>
    <s v="ok"/>
    <s v="ok"/>
    <d v="2018-05-04T00:00:00"/>
    <s v="ok"/>
    <d v="2017-11-08T00:00:00"/>
    <n v="82104"/>
    <d v="2017-03-01T00:00:00"/>
    <m/>
    <m/>
    <m/>
    <m/>
    <m/>
    <m/>
    <s v="élément transmis à OFOI 03/10/17"/>
    <s v="à déposer"/>
    <s v="ok"/>
    <m/>
    <m/>
    <m/>
    <n v="6402537"/>
    <n v="6464079"/>
    <n v="6464079"/>
    <n v="6464079"/>
    <n v="880000"/>
    <n v="1823.8008176531825"/>
    <n v="146910.88636363635"/>
    <n v="1905132"/>
    <m/>
    <n v="43298.454545454544"/>
    <n v="3678947"/>
    <n v="473086"/>
    <n v="3205861"/>
    <n v="83612.431818181823"/>
    <m/>
    <n v="880000"/>
    <m/>
    <n v="0.13613695005893336"/>
    <m/>
    <m/>
    <n v="0"/>
    <n v="20000"/>
    <n v="63298.454545454544"/>
    <n v="0"/>
    <n v="0"/>
    <e v="#REF!"/>
    <n v="0"/>
    <n v="63298.454545454544"/>
    <n v="0.45371634850544579"/>
    <n v="325591.79499999998"/>
    <m/>
    <n v="0"/>
    <m/>
    <n v="0"/>
    <n v="6464079"/>
    <n v="6464079"/>
    <m/>
    <m/>
    <n v="880000"/>
    <n v="0"/>
    <m/>
    <m/>
    <m/>
    <m/>
    <n v="0"/>
    <m/>
    <m/>
    <m/>
    <m/>
    <m/>
    <m/>
    <n v="0"/>
    <m/>
  </r>
  <r>
    <s v="VEFA JARDINS DE MONTAIGNE"/>
    <x v="2"/>
    <x v="2"/>
    <x v="12"/>
    <s v="PRLC 0221"/>
    <s v="YFR"/>
    <s v="MMA"/>
    <x v="7"/>
    <m/>
    <s v="BP 593"/>
    <m/>
    <m/>
    <m/>
    <m/>
    <n v="2150"/>
    <n v="397000"/>
    <n v="397000"/>
    <n v="9022.7272727272721"/>
    <n v="184.65116279069767"/>
    <n v="184.65116279069767"/>
    <n v="99.476308602069707"/>
    <n v="9022.7272727272721"/>
    <n v="48.863636363636367"/>
    <m/>
    <n v="204.65116279069767"/>
    <s v="UAa"/>
    <n v="520"/>
    <n v="0.1"/>
    <x v="3"/>
    <n v="44"/>
    <n v="44"/>
    <m/>
    <m/>
    <n v="44"/>
    <m/>
    <n v="3427.7"/>
    <n v="3990.9"/>
    <n v="77.902272727272717"/>
    <n v="90.702272727272728"/>
    <m/>
    <m/>
    <m/>
    <m/>
    <m/>
    <m/>
    <m/>
    <m/>
    <m/>
    <s v="SO"/>
    <s v="SO"/>
    <m/>
    <s v="collectif"/>
    <s v="oui"/>
    <n v="8370000"/>
    <n v="2441.8706421215393"/>
    <n v="2097.2712921897314"/>
    <n v="190227.27272727274"/>
    <s v="16/9/19_x000a_15/10/19"/>
    <m/>
    <d v="2019-12-17T00:00:00"/>
    <m/>
    <m/>
    <m/>
    <m/>
    <n v="0"/>
    <s v="x"/>
    <m/>
    <m/>
    <n v="0"/>
    <m/>
    <m/>
    <m/>
    <m/>
    <d v="1901-12-31T00:00:00"/>
    <m/>
    <s v="oui"/>
    <n v="-1470.1333333333334"/>
    <n v="0"/>
    <n v="0"/>
    <m/>
    <d v="2019-08-19T00:00:00"/>
    <d v="2019-08-29T00:00:00"/>
    <n v="10"/>
    <m/>
    <m/>
    <s v="0"/>
    <m/>
    <d v="2020-04-29T00:00:00"/>
    <s v="0"/>
    <m/>
    <d v="2020-04-29T00:00:00"/>
    <s v="0"/>
    <m/>
    <d v="2020-04-29T00:00:00"/>
    <s v="0"/>
    <m/>
    <m/>
    <m/>
    <m/>
    <s v="0"/>
    <d v="2021-02-01T00:00:00"/>
    <x v="63"/>
    <x v="7"/>
    <n v="1474.2666666666667"/>
    <n v="0"/>
    <n v="16"/>
    <n v="19"/>
    <m/>
    <d v="2020-04-29T00:00:00"/>
    <s v="0"/>
    <m/>
    <d v="2020-04-29T00:00:00"/>
    <s v="0"/>
    <m/>
    <d v="2020-04-29T00:00:00"/>
    <s v="0"/>
    <m/>
    <d v="2020-04-29T00:00:00"/>
    <s v="0"/>
    <m/>
    <m/>
    <s v="0"/>
    <m/>
    <d v="2020-04-29T00:00:00"/>
    <s v="0"/>
    <m/>
    <d v="2020-04-29T00:00:00"/>
    <s v="0"/>
    <m/>
    <m/>
    <m/>
    <d v="2022-06-01T00:00:00"/>
    <d v="2022-09-01T00:00:00"/>
    <n v="3.0666666666666669"/>
    <n v="28.5"/>
    <d v="2022-04-29T00:00:00"/>
    <m/>
    <m/>
    <d v="2023-01-03T00:00:00"/>
    <m/>
    <d v="2022-08-01T00:00:00"/>
    <x v="62"/>
    <x v="8"/>
    <n v="2.0333333333333332"/>
    <m/>
    <n v="0"/>
    <m/>
    <m/>
    <m/>
    <m/>
    <m/>
    <m/>
    <n v="0"/>
    <m/>
    <m/>
    <m/>
    <m/>
    <d v="2022-04-29T00:00:00"/>
    <m/>
    <m/>
    <m/>
    <m/>
    <m/>
    <m/>
    <d v="2023-09-01T00:00:00"/>
    <m/>
    <m/>
    <m/>
    <m/>
    <m/>
    <m/>
    <m/>
    <m/>
    <m/>
    <m/>
    <m/>
    <m/>
    <m/>
    <m/>
    <m/>
    <n v="8734583"/>
    <n v="8734583"/>
    <n v="8734583"/>
    <n v="0"/>
    <n v="2188.624871582851"/>
    <n v="198513.25"/>
    <n v="3124155"/>
    <m/>
    <n v="71003.522727272721"/>
    <n v="4541983"/>
    <n v="581781"/>
    <n v="3960202"/>
    <n v="103226.88636363637"/>
    <n v="1068445"/>
    <m/>
    <m/>
    <n v="0"/>
    <m/>
    <m/>
    <m/>
    <n v="0"/>
    <n v="71003.522727272721"/>
    <m/>
    <m/>
    <n v="71003.522727272721"/>
    <m/>
    <n v="71003.522727272721"/>
    <n v="0.35767649125321727"/>
    <m/>
    <m/>
    <m/>
    <m/>
    <n v="0"/>
    <n v="8734583"/>
    <n v="100000"/>
    <n v="1.1448743460334625E-2"/>
    <m/>
    <n v="0"/>
    <e v="#DIV/0!"/>
    <m/>
    <m/>
    <m/>
    <m/>
    <m/>
    <m/>
    <m/>
    <m/>
    <m/>
    <m/>
    <m/>
    <m/>
    <m/>
  </r>
  <r>
    <s v="BOULANGER LLS"/>
    <x v="2"/>
    <x v="2"/>
    <x v="12"/>
    <s v="PRLC 0212"/>
    <s v="TQU"/>
    <s v="VAF"/>
    <x v="10"/>
    <m/>
    <s v="BD 1427p/1428p"/>
    <s v="CPV en cours_x000a_portage EPFR à prévoir"/>
    <m/>
    <m/>
    <m/>
    <n v="4330"/>
    <n v="400000"/>
    <n v="400000"/>
    <n v="19047.619047619046"/>
    <n v="92.378752886836025"/>
    <n v="92.378752886836025"/>
    <n v="213.33902237392996"/>
    <n v="19047.619047619046"/>
    <n v="206.1904761904762"/>
    <m/>
    <n v="48.498845265588912"/>
    <s v="1AUB"/>
    <n v="760"/>
    <n v="0.2"/>
    <x v="1"/>
    <n v="21"/>
    <n v="21"/>
    <n v="21"/>
    <m/>
    <m/>
    <m/>
    <n v="1612.45"/>
    <n v="1874.95"/>
    <n v="76.783333333333331"/>
    <n v="89.283333333333331"/>
    <m/>
    <m/>
    <m/>
    <m/>
    <m/>
    <m/>
    <m/>
    <m/>
    <m/>
    <m/>
    <m/>
    <m/>
    <s v="collectif"/>
    <s v="oui"/>
    <m/>
    <m/>
    <m/>
    <m/>
    <s v="2/10/19 DEAL"/>
    <m/>
    <d v="2019-11-12T00:00:00"/>
    <m/>
    <m/>
    <m/>
    <m/>
    <n v="0"/>
    <s v="x"/>
    <m/>
    <m/>
    <n v="0"/>
    <m/>
    <m/>
    <m/>
    <m/>
    <d v="1901-12-31T00:00:00"/>
    <m/>
    <s v="oui"/>
    <n v="-1471.6333333333334"/>
    <n v="0"/>
    <n v="0"/>
    <d v="2019-04-03T00:00:00"/>
    <d v="2019-04-18T00:00:00"/>
    <d v="2019-04-08T00:00:00"/>
    <n v="-10"/>
    <d v="2019-05-30T00:00:00"/>
    <d v="2019-05-29T00:00:00"/>
    <n v="-1"/>
    <d v="2019-09-01T00:00:00"/>
    <d v="2020-04-29T00:00:00"/>
    <n v="241"/>
    <d v="2019-11-02T00:00:00"/>
    <d v="2020-04-29T00:00:00"/>
    <n v="179"/>
    <d v="2020-02-01T00:00:00"/>
    <d v="2020-04-29T00:00:00"/>
    <n v="88"/>
    <m/>
    <d v="2020-05-02T00:00:00"/>
    <d v="2020-08-02T00:00:00"/>
    <m/>
    <s v="0"/>
    <d v="2020-09-01T00:00:00"/>
    <x v="59"/>
    <x v="7"/>
    <n v="1475.6666666666667"/>
    <n v="195"/>
    <n v="16"/>
    <n v="19"/>
    <m/>
    <d v="2020-04-29T00:00:00"/>
    <s v="0"/>
    <m/>
    <d v="2020-04-29T00:00:00"/>
    <s v="0"/>
    <m/>
    <d v="2020-04-29T00:00:00"/>
    <s v="0"/>
    <m/>
    <d v="2020-04-29T00:00:00"/>
    <s v="0"/>
    <m/>
    <m/>
    <s v="0"/>
    <m/>
    <d v="2020-04-29T00:00:00"/>
    <s v="0"/>
    <m/>
    <d v="2020-04-29T00:00:00"/>
    <s v="0"/>
    <m/>
    <m/>
    <m/>
    <d v="2022-07-15T00:00:00"/>
    <d v="2022-10-15T00:00:00"/>
    <n v="3.0666666666666669"/>
    <n v="29.966666666666665"/>
    <d v="2022-04-29T00:00:00"/>
    <m/>
    <m/>
    <d v="2023-02-17T00:00:00"/>
    <m/>
    <d v="2022-08-15T00:00:00"/>
    <x v="65"/>
    <x v="8"/>
    <n v="3.0666666666666669"/>
    <m/>
    <n v="0"/>
    <m/>
    <m/>
    <m/>
    <m/>
    <m/>
    <m/>
    <n v="0"/>
    <m/>
    <m/>
    <m/>
    <s v="PC en instruction_x000a_projet à présenter à la DEAL"/>
    <d v="2022-04-29T00:00:00"/>
    <m/>
    <m/>
    <m/>
    <m/>
    <m/>
    <m/>
    <d v="2023-10-15T00:00:00"/>
    <m/>
    <m/>
    <m/>
    <m/>
    <m/>
    <m/>
    <m/>
    <m/>
    <m/>
    <m/>
    <m/>
    <m/>
    <m/>
    <m/>
    <m/>
    <n v="4499487.74"/>
    <n v="4499487.74"/>
    <n v="4499487.74"/>
    <n v="630000"/>
    <n v="2399.7907890877091"/>
    <n v="214261.32095238095"/>
    <n v="1409767.74"/>
    <m/>
    <n v="67131.797142857147"/>
    <n v="2459720"/>
    <n v="539806"/>
    <n v="1919914"/>
    <n v="117129.52380952382"/>
    <m/>
    <n v="630000"/>
    <m/>
    <n v="0.14001593879217902"/>
    <m/>
    <m/>
    <m/>
    <n v="30000"/>
    <n v="97131.797142857147"/>
    <m/>
    <m/>
    <n v="97131.797142857147"/>
    <m/>
    <n v="97131.797142857147"/>
    <n v="0.45333332545095451"/>
    <m/>
    <m/>
    <m/>
    <n v="31301"/>
    <n v="6.9565696827523747E-3"/>
    <n v="4468186.74"/>
    <n v="100000"/>
    <n v="2.9181321871987142E-2"/>
    <m/>
    <n v="630000"/>
    <n v="0"/>
    <m/>
    <m/>
    <m/>
    <m/>
    <n v="0"/>
    <m/>
    <m/>
    <m/>
    <m/>
    <m/>
    <m/>
    <n v="0"/>
    <m/>
  </r>
  <r>
    <s v="BOULANGER LLTS"/>
    <x v="2"/>
    <x v="2"/>
    <x v="12"/>
    <s v="PRLC 0212"/>
    <m/>
    <m/>
    <x v="10"/>
    <m/>
    <s v="BD 1427p/1428p"/>
    <s v="CPV en cours_x000a_portage EPFR à prévoir"/>
    <m/>
    <m/>
    <m/>
    <n v="4330"/>
    <n v="400000"/>
    <n v="400000"/>
    <n v="36363.63636363636"/>
    <n v="92.378752886836025"/>
    <n v="92.378752886836025"/>
    <n v="668.46036865589338"/>
    <n v="36363.63636363636"/>
    <n v="393.63636363636363"/>
    <m/>
    <n v="25.404157043879909"/>
    <s v="1AUB"/>
    <n v="760"/>
    <n v="0.2"/>
    <x v="0"/>
    <n v="11"/>
    <n v="11"/>
    <m/>
    <n v="11"/>
    <m/>
    <m/>
    <n v="467.54000000000008"/>
    <n v="598.39"/>
    <n v="42.503636363636367"/>
    <n v="54.399090909090908"/>
    <m/>
    <m/>
    <m/>
    <m/>
    <m/>
    <m/>
    <m/>
    <m/>
    <m/>
    <m/>
    <m/>
    <m/>
    <s v="collectif"/>
    <s v="oui"/>
    <m/>
    <m/>
    <m/>
    <m/>
    <s v="2/10/19 DEAL"/>
    <m/>
    <d v="2019-11-12T00:00:00"/>
    <m/>
    <m/>
    <m/>
    <m/>
    <n v="0"/>
    <s v="x"/>
    <m/>
    <m/>
    <n v="0"/>
    <m/>
    <m/>
    <m/>
    <m/>
    <d v="1901-12-31T00:00:00"/>
    <m/>
    <s v="oui"/>
    <n v="-1471.6333333333334"/>
    <n v="0"/>
    <n v="0"/>
    <d v="2019-04-03T00:00:00"/>
    <d v="2019-04-18T00:00:00"/>
    <d v="2019-04-08T00:00:00"/>
    <n v="-10"/>
    <d v="2019-05-30T00:00:00"/>
    <d v="2019-05-29T00:00:00"/>
    <n v="-1"/>
    <d v="2019-09-01T00:00:00"/>
    <d v="2020-04-29T00:00:00"/>
    <n v="241"/>
    <d v="2019-11-02T00:00:00"/>
    <d v="2020-04-29T00:00:00"/>
    <n v="179"/>
    <d v="2020-02-01T00:00:00"/>
    <d v="2020-04-29T00:00:00"/>
    <n v="88"/>
    <m/>
    <d v="2020-05-02T00:00:00"/>
    <d v="2020-08-02T00:00:00"/>
    <m/>
    <s v="0"/>
    <d v="2020-09-01T00:00:00"/>
    <x v="59"/>
    <x v="7"/>
    <n v="1475.6666666666667"/>
    <n v="195"/>
    <n v="16"/>
    <n v="19"/>
    <m/>
    <d v="2020-04-29T00:00:00"/>
    <s v="0"/>
    <m/>
    <d v="2020-04-29T00:00:00"/>
    <s v="0"/>
    <m/>
    <d v="2020-04-29T00:00:00"/>
    <s v="0"/>
    <m/>
    <d v="2020-04-29T00:00:00"/>
    <s v="0"/>
    <m/>
    <m/>
    <s v="0"/>
    <m/>
    <d v="2020-04-29T00:00:00"/>
    <s v="0"/>
    <m/>
    <d v="2020-04-29T00:00:00"/>
    <s v="0"/>
    <m/>
    <m/>
    <m/>
    <d v="2022-07-15T00:00:00"/>
    <d v="2022-10-15T00:00:00"/>
    <n v="3.0666666666666669"/>
    <n v="29.966666666666665"/>
    <d v="2022-04-29T00:00:00"/>
    <m/>
    <m/>
    <d v="2023-02-17T00:00:00"/>
    <m/>
    <d v="2022-08-15T00:00:00"/>
    <x v="65"/>
    <x v="8"/>
    <n v="3.0666666666666669"/>
    <m/>
    <n v="0"/>
    <m/>
    <m/>
    <m/>
    <m/>
    <m/>
    <m/>
    <n v="0"/>
    <m/>
    <m/>
    <m/>
    <s v="PC en instruction_x000a_projet à présenter à la DEAL"/>
    <d v="2022-04-29T00:00:00"/>
    <m/>
    <m/>
    <m/>
    <m/>
    <m/>
    <m/>
    <d v="2023-10-15T00:00:00"/>
    <m/>
    <m/>
    <m/>
    <m/>
    <m/>
    <m/>
    <m/>
    <m/>
    <m/>
    <m/>
    <m/>
    <m/>
    <m/>
    <m/>
    <m/>
    <n v="1464240"/>
    <n v="1464240"/>
    <n v="1464240"/>
    <n v="385000"/>
    <n v="2446.9660255017629"/>
    <n v="133112.72727272726"/>
    <n v="397523"/>
    <m/>
    <n v="36138.454545454544"/>
    <n v="681717"/>
    <n v="139738"/>
    <n v="541979"/>
    <n v="61974.272727272728"/>
    <m/>
    <n v="385000"/>
    <m/>
    <n v="0.2629350379719172"/>
    <m/>
    <m/>
    <m/>
    <n v="35000"/>
    <n v="71138.454545454544"/>
    <m/>
    <m/>
    <n v="71138.454545454544"/>
    <m/>
    <n v="71138.454545454544"/>
    <n v="0.53442263563350267"/>
    <m/>
    <m/>
    <m/>
    <n v="31301"/>
    <n v="2.1376960061192156E-2"/>
    <n v="1432939"/>
    <n v="100000"/>
    <n v="8.967177511883298E-2"/>
    <m/>
    <n v="385000"/>
    <n v="0"/>
    <m/>
    <m/>
    <m/>
    <m/>
    <n v="0"/>
    <m/>
    <m/>
    <m/>
    <m/>
    <m/>
    <m/>
    <n v="0"/>
    <m/>
  </r>
  <r>
    <s v="VEFA LOULOU PITOU (LA SAFRANIERE)"/>
    <x v="2"/>
    <x v="2"/>
    <x v="7"/>
    <s v="PRLC 0161"/>
    <m/>
    <m/>
    <x v="0"/>
    <m/>
    <m/>
    <m/>
    <m/>
    <m/>
    <m/>
    <n v="2671"/>
    <n v="637295"/>
    <n v="637295"/>
    <n v="13559.468085106382"/>
    <n v="238.5979034069637"/>
    <n v="238.5979034069637"/>
    <n v="166.56952430737061"/>
    <n v="13559.468085106382"/>
    <n v="56.829787234042556"/>
    <m/>
    <n v="175.96405840509172"/>
    <s v="UB"/>
    <n v="512"/>
    <m/>
    <x v="0"/>
    <n v="47"/>
    <n v="47"/>
    <m/>
    <n v="47"/>
    <m/>
    <m/>
    <n v="3318.5"/>
    <n v="3826"/>
    <n v="70.606382978723403"/>
    <n v="81.40425531914893"/>
    <n v="6.01"/>
    <n v="5.2"/>
    <n v="423.17"/>
    <m/>
    <m/>
    <m/>
    <m/>
    <m/>
    <m/>
    <n v="0"/>
    <n v="0"/>
    <n v="4.5"/>
    <s v="collectif"/>
    <s v="oui"/>
    <n v="7250000"/>
    <n v="2184.7220129576617"/>
    <n v="1894.929430214323"/>
    <n v="154255.31914893616"/>
    <d v="2013-11-13T00:00:00"/>
    <m/>
    <d v="2014-05-12T00:00:00"/>
    <m/>
    <d v="2014-03-30T00:00:00"/>
    <d v="2014-06-10T00:00:00"/>
    <m/>
    <n v="2.4"/>
    <m/>
    <d v="2014-12-16T00:00:00"/>
    <d v="2014-12-17T00:00:00"/>
    <n v="3.3333333333333333E-2"/>
    <m/>
    <d v="2015-03-17T00:00:00"/>
    <s v="ok"/>
    <d v="2015-04-01T00:00:00"/>
    <d v="2017-04-01T00:00:00"/>
    <n v="113791"/>
    <s v="non"/>
    <n v="4.8"/>
    <n v="98144.377355732388"/>
    <n v="15646.622644267612"/>
    <m/>
    <m/>
    <m/>
    <s v="0"/>
    <m/>
    <m/>
    <s v="0"/>
    <m/>
    <m/>
    <s v="0"/>
    <m/>
    <m/>
    <s v="0"/>
    <m/>
    <m/>
    <s v="0"/>
    <m/>
    <m/>
    <m/>
    <m/>
    <s v="0"/>
    <m/>
    <x v="66"/>
    <x v="5"/>
    <n v="7.9"/>
    <s v="0"/>
    <n v="18"/>
    <n v="20"/>
    <m/>
    <m/>
    <s v="0"/>
    <m/>
    <m/>
    <s v="0"/>
    <m/>
    <m/>
    <s v="0"/>
    <m/>
    <m/>
    <s v="0"/>
    <m/>
    <m/>
    <s v="0"/>
    <m/>
    <m/>
    <s v="0"/>
    <m/>
    <m/>
    <s v="0"/>
    <m/>
    <m/>
    <m/>
    <d v="2016-08-02T00:00:00"/>
    <d v="2016-10-31T00:00:00"/>
    <n v="3"/>
    <m/>
    <m/>
    <d v="2016-10-14T00:00:00"/>
    <d v="2016-08-09T00:00:00"/>
    <m/>
    <m/>
    <d v="2016-09-02T00:00:00"/>
    <x v="66"/>
    <x v="6"/>
    <n v="2.2333333333333334"/>
    <n v="20446.745282444248"/>
    <n v="45664.39779745882"/>
    <s v="ok"/>
    <m/>
    <n v="0"/>
    <m/>
    <m/>
    <n v="0"/>
    <n v="0"/>
    <m/>
    <m/>
    <m/>
    <m/>
    <d v="1901-12-31T00:00:00"/>
    <m/>
    <d v="2016-12-23T00:00:00"/>
    <m/>
    <s v="sauf Peinture"/>
    <s v="ok"/>
    <m/>
    <d v="2017-10-31T00:00:00"/>
    <n v="27200"/>
    <d v="2016-12-06T00:00:00"/>
    <d v="2017-02-13T00:00:00"/>
    <m/>
    <m/>
    <m/>
    <m/>
    <s v="SO"/>
    <m/>
    <s v="déposé DRFIP 16/06/17"/>
    <d v="2017-03-14T00:00:00"/>
    <s v="ok"/>
    <s v="ok"/>
    <m/>
    <m/>
    <n v="7893608.4299999997"/>
    <n v="7893608.4299999997"/>
    <n v="7893608.4299999997"/>
    <n v="1118000"/>
    <n v="2063.1490930475693"/>
    <n v="167949.1155319149"/>
    <n v="2234701"/>
    <m/>
    <n v="47546.829787234041"/>
    <n v="4540907.43"/>
    <n v="1362272"/>
    <n v="3178635.43"/>
    <n v="96615.051702127646"/>
    <n v="0"/>
    <n v="1118000"/>
    <n v="0"/>
    <n v="0.1416335773321353"/>
    <m/>
    <m/>
    <n v="0"/>
    <n v="23787.234042553191"/>
    <n v="71334.063829787236"/>
    <n v="0"/>
    <n v="0"/>
    <e v="#REF!"/>
    <n v="0"/>
    <n v="71334.063829787236"/>
    <n v="0.42473616847497969"/>
    <n v="0"/>
    <m/>
    <n v="0"/>
    <m/>
    <n v="0"/>
    <n v="7893608.4299999997"/>
    <n v="7893608.4299999997"/>
    <m/>
    <m/>
    <n v="1118000"/>
    <n v="0"/>
    <m/>
    <m/>
    <m/>
    <m/>
    <n v="0"/>
    <m/>
    <m/>
    <m/>
    <m/>
    <m/>
    <m/>
    <n v="0"/>
    <m/>
  </r>
  <r>
    <s v="VEFA 23e KM ADJIBI LLS"/>
    <x v="2"/>
    <x v="3"/>
    <x v="12"/>
    <s v="PRLC 0218"/>
    <m/>
    <m/>
    <x v="7"/>
    <m/>
    <m/>
    <m/>
    <m/>
    <m/>
    <m/>
    <m/>
    <m/>
    <m/>
    <n v="0"/>
    <e v="#DIV/0!"/>
    <e v="#DIV/0!"/>
    <n v="0"/>
    <n v="0"/>
    <n v="0"/>
    <m/>
    <e v="#DIV/0!"/>
    <m/>
    <m/>
    <m/>
    <x v="1"/>
    <n v="53"/>
    <n v="53"/>
    <m/>
    <n v="53"/>
    <m/>
    <m/>
    <n v="4076.6"/>
    <n v="4590.68"/>
    <n v="76.916981132075463"/>
    <n v="86.616603773584913"/>
    <m/>
    <m/>
    <m/>
    <m/>
    <m/>
    <m/>
    <m/>
    <m/>
    <m/>
    <m/>
    <m/>
    <m/>
    <m/>
    <m/>
    <n v="10202184.244999999"/>
    <n v="2502.6208715596331"/>
    <n v="2222.3688527625532"/>
    <n v="192494.04235849055"/>
    <s v="29/08/2019_x000a_14/11/19_x000a_à revoir"/>
    <m/>
    <d v="2019-12-17T00:00:00"/>
    <m/>
    <m/>
    <m/>
    <m/>
    <n v="0"/>
    <s v="x"/>
    <m/>
    <m/>
    <n v="0"/>
    <m/>
    <m/>
    <m/>
    <m/>
    <d v="1901-12-31T00:00:00"/>
    <m/>
    <s v="oui"/>
    <n v="-1471.8"/>
    <n v="0"/>
    <n v="0"/>
    <m/>
    <m/>
    <m/>
    <m/>
    <m/>
    <m/>
    <m/>
    <m/>
    <m/>
    <m/>
    <m/>
    <m/>
    <m/>
    <m/>
    <m/>
    <s v="0"/>
    <m/>
    <m/>
    <m/>
    <m/>
    <s v="0"/>
    <m/>
    <x v="67"/>
    <x v="7"/>
    <n v="1475.8333333333333"/>
    <s v="0"/>
    <n v="16"/>
    <n v="19"/>
    <m/>
    <d v="2020-04-29T00:00:00"/>
    <s v="0"/>
    <m/>
    <d v="2020-04-29T00:00:00"/>
    <s v="0"/>
    <m/>
    <d v="2020-04-29T00:00:00"/>
    <s v="0"/>
    <m/>
    <d v="2020-04-29T00:00:00"/>
    <s v="0"/>
    <m/>
    <m/>
    <s v="0"/>
    <m/>
    <d v="2020-04-29T00:00:00"/>
    <s v="0"/>
    <m/>
    <d v="2020-04-29T00:00:00"/>
    <s v="0"/>
    <m/>
    <m/>
    <m/>
    <d v="2022-07-20T00:00:00"/>
    <d v="2022-10-20T00:00:00"/>
    <n v="3.0666666666666669"/>
    <n v="30.133333333333333"/>
    <d v="2022-04-29T00:00:00"/>
    <m/>
    <m/>
    <d v="2023-02-22T00:00:00"/>
    <m/>
    <d v="2022-08-20T00:00:00"/>
    <x v="67"/>
    <x v="8"/>
    <n v="3.0666666666666669"/>
    <m/>
    <n v="0"/>
    <m/>
    <m/>
    <m/>
    <m/>
    <m/>
    <m/>
    <n v="0"/>
    <m/>
    <m/>
    <m/>
    <s v="2e présentation ACPC 29/08"/>
    <d v="2022-04-29T00:00:00"/>
    <m/>
    <m/>
    <m/>
    <m/>
    <m/>
    <m/>
    <d v="2023-10-20T00:00:00"/>
    <m/>
    <m/>
    <m/>
    <m/>
    <m/>
    <m/>
    <m/>
    <m/>
    <m/>
    <m/>
    <m/>
    <m/>
    <m/>
    <m/>
    <m/>
    <n v="10643834.45828877"/>
    <n v="10643834.45828877"/>
    <n v="10643834.45828877"/>
    <n v="1431000"/>
    <n v="2318.5746900870395"/>
    <n v="200827.06525073151"/>
    <n v="3276478.829738684"/>
    <m/>
    <n v="61820.355278088377"/>
    <n v="5936355.6285500852"/>
    <n v="1187271.1257100173"/>
    <n v="4749084.5028400682"/>
    <n v="112006.70997264312"/>
    <m/>
    <n v="1431000"/>
    <m/>
    <n v="0.13444403007279246"/>
    <m/>
    <m/>
    <m/>
    <n v="27000"/>
    <n v="88820.355278088377"/>
    <m/>
    <m/>
    <n v="88820.355278088377"/>
    <m/>
    <n v="88820.355278088377"/>
    <n v="0.44227283392901567"/>
    <m/>
    <m/>
    <m/>
    <m/>
    <n v="0"/>
    <n v="10643834.45828877"/>
    <n v="100000"/>
    <n v="9.3951104173859157E-3"/>
    <m/>
    <n v="1431000"/>
    <n v="0"/>
    <m/>
    <m/>
    <m/>
    <m/>
    <n v="0"/>
    <m/>
    <m/>
    <m/>
    <m/>
    <m/>
    <m/>
    <m/>
    <m/>
  </r>
  <r>
    <s v="VEFA 23e KM ADJIBI LLTS"/>
    <x v="2"/>
    <x v="2"/>
    <x v="12"/>
    <s v="PRLC 0218"/>
    <s v="TQU"/>
    <s v="DBA"/>
    <x v="7"/>
    <m/>
    <s v="AK 931"/>
    <m/>
    <m/>
    <m/>
    <m/>
    <n v="14000"/>
    <n v="894200"/>
    <n v="894200"/>
    <n v="35768"/>
    <n v="63.871428571428574"/>
    <n v="63.871428571428574"/>
    <n v="604.70809410778168"/>
    <n v="35768"/>
    <n v="560"/>
    <m/>
    <n v="17.857142857142858"/>
    <s v="UC"/>
    <n v="1200"/>
    <n v="0.2"/>
    <x v="0"/>
    <n v="25"/>
    <n v="25"/>
    <m/>
    <n v="25"/>
    <m/>
    <m/>
    <n v="1311.46"/>
    <n v="1478.73"/>
    <n v="52.458400000000005"/>
    <n v="59.1492"/>
    <m/>
    <m/>
    <m/>
    <m/>
    <m/>
    <m/>
    <m/>
    <m/>
    <m/>
    <m/>
    <m/>
    <m/>
    <m/>
    <m/>
    <n v="3473070.3560000001"/>
    <n v="2648.2472633553443"/>
    <n v="2348.6845847450177"/>
    <n v="138922.81424000001"/>
    <s v="29/08/2019_x000a_14/11/19_x000a_à revoir"/>
    <m/>
    <d v="2019-12-17T00:00:00"/>
    <m/>
    <m/>
    <m/>
    <m/>
    <n v="0"/>
    <s v="x"/>
    <m/>
    <m/>
    <n v="0"/>
    <m/>
    <m/>
    <m/>
    <m/>
    <d v="1901-12-31T00:00:00"/>
    <m/>
    <s v="oui"/>
    <n v="-1471.8"/>
    <n v="0"/>
    <n v="0"/>
    <m/>
    <m/>
    <m/>
    <s v="0"/>
    <m/>
    <m/>
    <s v="0"/>
    <m/>
    <m/>
    <s v="0"/>
    <m/>
    <m/>
    <s v="0"/>
    <m/>
    <m/>
    <s v="0"/>
    <m/>
    <m/>
    <m/>
    <m/>
    <s v="0"/>
    <m/>
    <x v="67"/>
    <x v="7"/>
    <n v="1475.8333333333333"/>
    <s v="0"/>
    <n v="16"/>
    <n v="19"/>
    <m/>
    <d v="2020-04-29T00:00:00"/>
    <s v="0"/>
    <m/>
    <d v="2020-04-29T00:00:00"/>
    <s v="0"/>
    <m/>
    <d v="2020-04-29T00:00:00"/>
    <s v="0"/>
    <m/>
    <d v="2020-04-29T00:00:00"/>
    <s v="0"/>
    <m/>
    <m/>
    <s v="0"/>
    <m/>
    <d v="2020-04-29T00:00:00"/>
    <s v="0"/>
    <m/>
    <d v="2020-04-29T00:00:00"/>
    <s v="0"/>
    <m/>
    <m/>
    <m/>
    <d v="2022-07-20T00:00:00"/>
    <d v="2022-10-20T00:00:00"/>
    <n v="3.0666666666666669"/>
    <n v="30.133333333333333"/>
    <d v="2022-04-29T00:00:00"/>
    <m/>
    <m/>
    <d v="2023-02-22T00:00:00"/>
    <m/>
    <d v="2022-08-20T00:00:00"/>
    <x v="67"/>
    <x v="8"/>
    <n v="3.0666666666666669"/>
    <m/>
    <n v="0"/>
    <m/>
    <m/>
    <m/>
    <m/>
    <m/>
    <m/>
    <n v="0"/>
    <m/>
    <m/>
    <m/>
    <s v="2e présentation ACPC 29/08"/>
    <d v="2022-04-29T00:00:00"/>
    <m/>
    <m/>
    <m/>
    <m/>
    <m/>
    <m/>
    <d v="2023-10-20T00:00:00"/>
    <m/>
    <m/>
    <m/>
    <m/>
    <m/>
    <m/>
    <m/>
    <m/>
    <m/>
    <m/>
    <m/>
    <m/>
    <m/>
    <m/>
    <m/>
    <n v="3627522.5907412283"/>
    <n v="3627522.5907412283"/>
    <n v="3627522.5907412283"/>
    <n v="725000"/>
    <n v="2453.1338315589919"/>
    <n v="145100.90362964914"/>
    <n v="1029075.1660303945"/>
    <m/>
    <n v="41163.006641215783"/>
    <n v="1873447.4247108337"/>
    <n v="374689.48494216683"/>
    <n v="1498757.9397686669"/>
    <n v="74937.896988433349"/>
    <m/>
    <n v="725000"/>
    <m/>
    <n v="0.19986091936421474"/>
    <m/>
    <m/>
    <m/>
    <n v="29000"/>
    <n v="70163.006641215776"/>
    <m/>
    <m/>
    <n v="70163.006641215776"/>
    <m/>
    <n v="70163.006641215776"/>
    <n v="0.48354631078175481"/>
    <m/>
    <m/>
    <m/>
    <m/>
    <n v="0"/>
    <n v="3627522.5907412283"/>
    <n v="100000"/>
    <n v="2.7567023360581346E-2"/>
    <m/>
    <n v="725000"/>
    <n v="0"/>
    <m/>
    <m/>
    <m/>
    <m/>
    <n v="0"/>
    <m/>
    <m/>
    <m/>
    <m/>
    <m/>
    <m/>
    <m/>
    <m/>
  </r>
  <r>
    <s v="VEFA MAZEAU ROUSSEL T1 LLS"/>
    <x v="2"/>
    <x v="2"/>
    <x v="12"/>
    <s v="PRLC 0217"/>
    <s v="TQU"/>
    <s v="ECL"/>
    <x v="7"/>
    <m/>
    <s v="BT 1024-1025-1033-1035-1034-1032-1042-1043"/>
    <m/>
    <m/>
    <m/>
    <m/>
    <n v="22661"/>
    <m/>
    <m/>
    <n v="0"/>
    <n v="0"/>
    <n v="0"/>
    <n v="0"/>
    <n v="0"/>
    <n v="1743.1538461538462"/>
    <m/>
    <n v="5.7367282997219897"/>
    <s v="1AUA"/>
    <m/>
    <n v="0.1"/>
    <x v="1"/>
    <n v="13"/>
    <n v="13"/>
    <n v="13"/>
    <m/>
    <m/>
    <m/>
    <n v="950.14"/>
    <n v="1143.23"/>
    <n v="73.087692307692308"/>
    <n v="87.940769230769234"/>
    <m/>
    <m/>
    <m/>
    <m/>
    <m/>
    <m/>
    <m/>
    <m/>
    <m/>
    <m/>
    <m/>
    <m/>
    <m/>
    <m/>
    <n v="2218577"/>
    <n v="2335.0001052476478"/>
    <n v="1940.6217471549905"/>
    <n v="170659.76923076922"/>
    <d v="2019-08-30T00:00:00"/>
    <m/>
    <d v="2019-12-17T00:00:00"/>
    <m/>
    <m/>
    <m/>
    <m/>
    <n v="0"/>
    <s v="x"/>
    <m/>
    <m/>
    <n v="0"/>
    <m/>
    <m/>
    <m/>
    <m/>
    <d v="1901-12-31T00:00:00"/>
    <m/>
    <s v="oui"/>
    <n v="-1471.8"/>
    <n v="0"/>
    <n v="0"/>
    <m/>
    <m/>
    <m/>
    <m/>
    <m/>
    <m/>
    <m/>
    <m/>
    <m/>
    <m/>
    <m/>
    <m/>
    <m/>
    <m/>
    <m/>
    <s v="0"/>
    <m/>
    <m/>
    <m/>
    <m/>
    <s v="0"/>
    <m/>
    <x v="67"/>
    <x v="7"/>
    <n v="1475.8333333333333"/>
    <s v="0"/>
    <n v="16"/>
    <n v="19"/>
    <m/>
    <d v="2020-04-29T00:00:00"/>
    <s v="0"/>
    <m/>
    <d v="2020-04-29T00:00:00"/>
    <s v="0"/>
    <m/>
    <d v="2020-04-29T00:00:00"/>
    <s v="0"/>
    <d v="2019-03-08T00:00:00"/>
    <d v="2020-04-29T00:00:00"/>
    <n v="418"/>
    <m/>
    <m/>
    <s v="0"/>
    <m/>
    <d v="2020-04-29T00:00:00"/>
    <s v="0"/>
    <d v="2019-05-24T00:00:00"/>
    <d v="2020-04-29T00:00:00"/>
    <n v="341"/>
    <m/>
    <m/>
    <m/>
    <d v="2022-07-20T00:00:00"/>
    <d v="2022-10-20T00:00:00"/>
    <n v="3.0666666666666669"/>
    <n v="30.133333333333333"/>
    <d v="2022-04-29T00:00:00"/>
    <m/>
    <m/>
    <d v="2023-02-22T00:00:00"/>
    <m/>
    <d v="2022-08-20T00:00:00"/>
    <x v="67"/>
    <x v="8"/>
    <n v="3.0666666666666669"/>
    <m/>
    <n v="0"/>
    <m/>
    <m/>
    <m/>
    <m/>
    <m/>
    <m/>
    <n v="0"/>
    <m/>
    <m/>
    <m/>
    <s v="1e présentation ACPC 30/08"/>
    <d v="2022-04-29T00:00:00"/>
    <m/>
    <m/>
    <m/>
    <m/>
    <m/>
    <m/>
    <d v="2023-10-20T00:00:00"/>
    <m/>
    <m/>
    <m/>
    <m/>
    <m/>
    <m/>
    <m/>
    <m/>
    <m/>
    <m/>
    <m/>
    <m/>
    <m/>
    <m/>
    <m/>
    <n v="2321486.6867354"/>
    <n v="2321486.6867354"/>
    <n v="2321486.6867354"/>
    <n v="260000"/>
    <n v="2030.6383551301137"/>
    <n v="178575.89897964615"/>
    <n v="734279.68673540023"/>
    <m/>
    <n v="56483.052825800019"/>
    <n v="1327207"/>
    <n v="224357"/>
    <n v="1102850"/>
    <n v="102092.84615384616"/>
    <m/>
    <n v="260000"/>
    <m/>
    <n v="0.1119971962301563"/>
    <m/>
    <m/>
    <m/>
    <n v="20000"/>
    <n v="76483.052825800012"/>
    <m/>
    <m/>
    <n v="76483.052825800012"/>
    <m/>
    <n v="76483.052825800012"/>
    <n v="0.42829437378062679"/>
    <m/>
    <m/>
    <m/>
    <m/>
    <n v="0"/>
    <n v="2321486.6867354"/>
    <n v="100000"/>
    <n v="4.3075844703906276E-2"/>
    <m/>
    <n v="260000"/>
    <n v="0"/>
    <m/>
    <m/>
    <m/>
    <m/>
    <n v="0"/>
    <m/>
    <m/>
    <m/>
    <m/>
    <m/>
    <m/>
    <n v="0"/>
    <m/>
  </r>
  <r>
    <s v="GINGKO &amp; BILOBA LLS"/>
    <x v="7"/>
    <x v="0"/>
    <x v="12"/>
    <s v="PRLC 0213"/>
    <s v="FHO"/>
    <s v="DBA"/>
    <x v="7"/>
    <m/>
    <s v="AT 183"/>
    <s v="RHI"/>
    <m/>
    <m/>
    <m/>
    <n v="1285.4634146341464"/>
    <m/>
    <m/>
    <n v="0"/>
    <n v="0"/>
    <n v="0"/>
    <n v="0"/>
    <n v="0"/>
    <n v="80.341463414634148"/>
    <m/>
    <n v="124.46873102610807"/>
    <m/>
    <m/>
    <m/>
    <x v="1"/>
    <n v="16"/>
    <n v="16"/>
    <n v="16"/>
    <m/>
    <m/>
    <m/>
    <n v="1260.5"/>
    <n v="1467.94"/>
    <n v="78.78125"/>
    <n v="91.746250000000003"/>
    <m/>
    <m/>
    <m/>
    <m/>
    <m/>
    <m/>
    <m/>
    <m/>
    <m/>
    <m/>
    <m/>
    <m/>
    <m/>
    <m/>
    <m/>
    <m/>
    <m/>
    <m/>
    <m/>
    <m/>
    <m/>
    <m/>
    <m/>
    <m/>
    <m/>
    <n v="0"/>
    <s v="x"/>
    <m/>
    <m/>
    <n v="0"/>
    <m/>
    <m/>
    <m/>
    <m/>
    <d v="1901-12-31T00:00:00"/>
    <m/>
    <s v="oui"/>
    <n v="-1471.8"/>
    <n v="0"/>
    <n v="0"/>
    <d v="2019-07-10T00:00:00"/>
    <d v="2019-07-24T00:00:00"/>
    <d v="2019-07-24T00:00:00"/>
    <n v="0"/>
    <d v="2019-10-15T00:00:00"/>
    <d v="2019-11-29T00:00:00"/>
    <n v="45"/>
    <d v="2019-11-15T00:00:00"/>
    <m/>
    <s v="0"/>
    <d v="2020-02-01T00:00:00"/>
    <m/>
    <s v="0"/>
    <d v="2020-04-15T00:00:00"/>
    <m/>
    <s v="0"/>
    <m/>
    <m/>
    <d v="2020-07-01T00:00:00"/>
    <m/>
    <s v="0"/>
    <d v="2020-10-01T00:00:00"/>
    <x v="68"/>
    <x v="7"/>
    <n v="1478.9"/>
    <n v="262"/>
    <n v="16"/>
    <n v="16"/>
    <m/>
    <d v="2020-04-29T00:00:00"/>
    <s v="0"/>
    <m/>
    <d v="2020-04-29T00:00:00"/>
    <s v="0"/>
    <m/>
    <d v="2020-04-29T00:00:00"/>
    <s v="0"/>
    <m/>
    <d v="2020-04-29T00:00:00"/>
    <s v="0"/>
    <m/>
    <m/>
    <s v="0"/>
    <m/>
    <d v="2020-04-29T00:00:00"/>
    <s v="0"/>
    <m/>
    <d v="2020-04-29T00:00:00"/>
    <s v="0"/>
    <m/>
    <m/>
    <m/>
    <d v="2022-10-20T00:00:00"/>
    <d v="2022-10-20T00:00:00"/>
    <n v="0"/>
    <n v="30.133333333333333"/>
    <d v="2022-04-29T00:00:00"/>
    <m/>
    <m/>
    <d v="2023-02-22T00:00:00"/>
    <m/>
    <d v="2022-11-20T00:00:00"/>
    <x v="67"/>
    <x v="8"/>
    <n v="0"/>
    <m/>
    <n v="0"/>
    <m/>
    <m/>
    <m/>
    <m/>
    <m/>
    <m/>
    <n v="0"/>
    <m/>
    <m/>
    <m/>
    <s v="possible P2 (plan topo pas reçu)"/>
    <d v="2022-04-29T00:00:00"/>
    <m/>
    <m/>
    <m/>
    <m/>
    <m/>
    <m/>
    <d v="2023-10-20T00:00:00"/>
    <m/>
    <m/>
    <m/>
    <m/>
    <m/>
    <m/>
    <m/>
    <m/>
    <m/>
    <m/>
    <m/>
    <m/>
    <m/>
    <m/>
    <m/>
    <n v="3279910.89"/>
    <n v="3279910.89"/>
    <n v="3279910.89"/>
    <n v="560000"/>
    <n v="2234.3630461735493"/>
    <n v="204994.43062500001"/>
    <n v="990795.5"/>
    <m/>
    <n v="61924.71875"/>
    <n v="1729115.3900000001"/>
    <n v="283960.8"/>
    <n v="1445154.59"/>
    <n v="108069.71187500001"/>
    <m/>
    <n v="560000"/>
    <m/>
    <n v="0.1707363458279807"/>
    <m/>
    <m/>
    <m/>
    <n v="35000"/>
    <n v="96924.71875"/>
    <m/>
    <m/>
    <n v="96924.71875"/>
    <m/>
    <n v="96924.71875"/>
    <n v="0.47281635142227901"/>
    <m/>
    <m/>
    <m/>
    <m/>
    <n v="0"/>
    <n v="3279910.89"/>
    <n v="70000"/>
    <n v="2.1342043228497587E-2"/>
    <m/>
    <n v="560000"/>
    <n v="0"/>
    <m/>
    <m/>
    <m/>
    <m/>
    <n v="0"/>
    <m/>
    <m/>
    <m/>
    <m/>
    <m/>
    <m/>
    <n v="0"/>
    <m/>
  </r>
  <r>
    <s v="GINGKO &amp; BILOBA LLTS"/>
    <x v="7"/>
    <x v="0"/>
    <x v="12"/>
    <s v="PRLC 0213"/>
    <m/>
    <m/>
    <x v="7"/>
    <m/>
    <s v="AT 184/200 p"/>
    <s v="RHI"/>
    <m/>
    <m/>
    <m/>
    <n v="2008.5365853658536"/>
    <m/>
    <m/>
    <n v="0"/>
    <n v="0"/>
    <n v="0"/>
    <n v="0"/>
    <n v="0"/>
    <n v="80.341463414634148"/>
    <m/>
    <n v="124.46873102610807"/>
    <m/>
    <m/>
    <m/>
    <x v="0"/>
    <n v="25"/>
    <n v="25"/>
    <m/>
    <n v="25"/>
    <m/>
    <m/>
    <n v="1309.3900000000001"/>
    <n v="1647.37"/>
    <n v="52.375600000000006"/>
    <n v="65.894799999999989"/>
    <m/>
    <m/>
    <m/>
    <m/>
    <m/>
    <m/>
    <m/>
    <m/>
    <m/>
    <m/>
    <m/>
    <m/>
    <m/>
    <m/>
    <m/>
    <m/>
    <m/>
    <m/>
    <m/>
    <m/>
    <m/>
    <m/>
    <m/>
    <m/>
    <m/>
    <n v="0"/>
    <s v="x"/>
    <m/>
    <m/>
    <n v="0"/>
    <m/>
    <m/>
    <m/>
    <m/>
    <d v="1901-12-31T00:00:00"/>
    <m/>
    <s v="oui"/>
    <n v="-1471.8"/>
    <n v="0"/>
    <n v="0"/>
    <m/>
    <m/>
    <m/>
    <s v="0"/>
    <m/>
    <m/>
    <s v="0"/>
    <m/>
    <m/>
    <s v="0"/>
    <m/>
    <m/>
    <s v="0"/>
    <m/>
    <m/>
    <s v="0"/>
    <m/>
    <m/>
    <m/>
    <m/>
    <s v="0"/>
    <m/>
    <x v="68"/>
    <x v="7"/>
    <n v="1478.9"/>
    <s v="0"/>
    <n v="16"/>
    <n v="16"/>
    <m/>
    <d v="2020-04-29T00:00:00"/>
    <s v="0"/>
    <m/>
    <d v="2020-04-29T00:00:00"/>
    <s v="0"/>
    <m/>
    <d v="2020-04-29T00:00:00"/>
    <s v="0"/>
    <m/>
    <d v="2020-04-29T00:00:00"/>
    <s v="0"/>
    <m/>
    <m/>
    <s v="0"/>
    <m/>
    <d v="2020-04-29T00:00:00"/>
    <s v="0"/>
    <m/>
    <d v="2020-04-29T00:00:00"/>
    <s v="0"/>
    <m/>
    <m/>
    <m/>
    <d v="2022-10-20T00:00:00"/>
    <d v="2022-10-20T00:00:00"/>
    <n v="0"/>
    <n v="30.133333333333333"/>
    <d v="2022-04-29T00:00:00"/>
    <m/>
    <m/>
    <d v="2023-02-22T00:00:00"/>
    <m/>
    <d v="2022-11-20T00:00:00"/>
    <x v="67"/>
    <x v="8"/>
    <n v="0"/>
    <m/>
    <n v="0"/>
    <m/>
    <m/>
    <m/>
    <m/>
    <m/>
    <m/>
    <n v="0"/>
    <m/>
    <m/>
    <m/>
    <m/>
    <d v="2022-04-29T00:00:00"/>
    <m/>
    <m/>
    <m/>
    <m/>
    <m/>
    <m/>
    <d v="2023-10-20T00:00:00"/>
    <m/>
    <m/>
    <m/>
    <m/>
    <m/>
    <m/>
    <m/>
    <m/>
    <m/>
    <m/>
    <m/>
    <m/>
    <m/>
    <m/>
    <m/>
    <n v="3589126.7"/>
    <n v="3589126.7"/>
    <n v="3589126.7"/>
    <n v="907000"/>
    <n v="2178.7010204143576"/>
    <n v="143565.068"/>
    <n v="993218.2"/>
    <m/>
    <n v="39728.727999999996"/>
    <n v="1688908.5"/>
    <n v="236992.11"/>
    <n v="1451916.39"/>
    <n v="67556.34"/>
    <m/>
    <n v="907000"/>
    <m/>
    <n v="0.25270771299324707"/>
    <m/>
    <m/>
    <m/>
    <n v="36280"/>
    <n v="76008.728000000003"/>
    <m/>
    <m/>
    <n v="76008.728000000003"/>
    <m/>
    <n v="76008.728000000003"/>
    <n v="0.52943748126807555"/>
    <m/>
    <m/>
    <m/>
    <m/>
    <n v="0"/>
    <n v="3589126.7"/>
    <n v="70000"/>
    <n v="1.9503351609181142E-2"/>
    <m/>
    <n v="907000"/>
    <n v="0"/>
    <m/>
    <m/>
    <m/>
    <m/>
    <n v="0"/>
    <m/>
    <m/>
    <m/>
    <m/>
    <m/>
    <m/>
    <n v="0"/>
    <m/>
  </r>
  <r>
    <s v="IKARIA LLTS"/>
    <x v="2"/>
    <x v="2"/>
    <x v="12"/>
    <s v="PRLC 0214"/>
    <m/>
    <m/>
    <x v="7"/>
    <m/>
    <s v="BW 1397"/>
    <s v="Mairie"/>
    <m/>
    <m/>
    <m/>
    <n v="2628"/>
    <n v="353571.42857142852"/>
    <m/>
    <n v="9821.4285714285706"/>
    <n v="134.54011741682973"/>
    <n v="0"/>
    <n v="0"/>
    <n v="0"/>
    <n v="73"/>
    <m/>
    <n v="136.98630136986301"/>
    <s v="UA"/>
    <n v="600"/>
    <n v="0.15"/>
    <x v="0"/>
    <n v="36"/>
    <n v="36"/>
    <m/>
    <n v="36"/>
    <m/>
    <m/>
    <n v="1667.16"/>
    <n v="1816.85"/>
    <n v="46.31"/>
    <n v="50.468055555555551"/>
    <m/>
    <m/>
    <m/>
    <m/>
    <m/>
    <m/>
    <m/>
    <m/>
    <m/>
    <m/>
    <m/>
    <m/>
    <s v="collectif"/>
    <s v="oui"/>
    <m/>
    <m/>
    <m/>
    <m/>
    <s v="2/10/19 DEAL"/>
    <m/>
    <d v="2019-11-12T00:00:00"/>
    <m/>
    <m/>
    <m/>
    <m/>
    <n v="0"/>
    <s v="x"/>
    <m/>
    <m/>
    <n v="0"/>
    <m/>
    <m/>
    <m/>
    <m/>
    <d v="1901-12-31T00:00:00"/>
    <m/>
    <s v="oui"/>
    <n v="-1472.8"/>
    <n v="0"/>
    <n v="0"/>
    <d v="2019-07-23T00:00:00"/>
    <d v="2019-07-23T00:00:00"/>
    <d v="2019-07-29T00:00:00"/>
    <n v="6"/>
    <d v="2019-10-15T00:00:00"/>
    <m/>
    <s v="0"/>
    <d v="2019-11-01T00:00:00"/>
    <m/>
    <s v="0"/>
    <d v="2020-01-15T00:00:00"/>
    <m/>
    <s v="0"/>
    <d v="2020-03-01T00:00:00"/>
    <m/>
    <s v="0"/>
    <m/>
    <m/>
    <d v="2020-08-01T00:00:00"/>
    <m/>
    <s v="0"/>
    <m/>
    <x v="69"/>
    <x v="7"/>
    <n v="1476.8666666666666"/>
    <s v="0"/>
    <n v="16"/>
    <n v="19"/>
    <m/>
    <d v="2020-04-29T00:00:00"/>
    <s v="0"/>
    <m/>
    <d v="2020-04-29T00:00:00"/>
    <s v="0"/>
    <m/>
    <d v="2020-04-29T00:00:00"/>
    <s v="0"/>
    <m/>
    <d v="2020-04-29T00:00:00"/>
    <s v="0"/>
    <m/>
    <m/>
    <s v="0"/>
    <m/>
    <d v="2020-04-29T00:00:00"/>
    <s v="0"/>
    <m/>
    <d v="2020-04-29T00:00:00"/>
    <s v="0"/>
    <m/>
    <m/>
    <m/>
    <d v="2022-08-20T00:00:00"/>
    <d v="2022-11-20T00:00:00"/>
    <n v="3.0666666666666669"/>
    <n v="31.166666666666668"/>
    <d v="2022-04-29T00:00:00"/>
    <m/>
    <m/>
    <d v="2023-03-22T00:00:00"/>
    <m/>
    <d v="2022-09-20T00:00:00"/>
    <x v="68"/>
    <x v="8"/>
    <n v="3.0333333333333332"/>
    <m/>
    <n v="0"/>
    <m/>
    <m/>
    <m/>
    <m/>
    <m/>
    <m/>
    <n v="0"/>
    <m/>
    <m/>
    <m/>
    <m/>
    <d v="2022-04-29T00:00:00"/>
    <m/>
    <m/>
    <m/>
    <m/>
    <m/>
    <m/>
    <d v="2023-11-20T00:00:00"/>
    <m/>
    <m/>
    <m/>
    <m/>
    <m/>
    <m/>
    <m/>
    <m/>
    <m/>
    <m/>
    <m/>
    <m/>
    <m/>
    <m/>
    <m/>
    <n v="4472124.3999999994"/>
    <n v="4472124.3999999994"/>
    <n v="4472124.3999999994"/>
    <n v="1442611.06"/>
    <n v="2461.4714478355395"/>
    <n v="124225.67777777776"/>
    <n v="1124447.8999999999"/>
    <m/>
    <n v="31234.663888888885"/>
    <n v="1905065.44"/>
    <n v="404381.99"/>
    <n v="1500683.45"/>
    <n v="52918.484444444446"/>
    <m/>
    <n v="1332000"/>
    <m/>
    <n v="0.2978450241679324"/>
    <m/>
    <m/>
    <n v="110611.06"/>
    <n v="37000"/>
    <n v="68234.663888888885"/>
    <m/>
    <m/>
    <n v="68234.663888888885"/>
    <m/>
    <n v="68234.663888888885"/>
    <n v="0.54927986797505013"/>
    <m/>
    <m/>
    <m/>
    <m/>
    <n v="0"/>
    <n v="4472124.3999999994"/>
    <n v="100000"/>
    <n v="2.2360737550145074E-2"/>
    <m/>
    <n v="1442611.06"/>
    <n v="0"/>
    <m/>
    <m/>
    <m/>
    <m/>
    <n v="0"/>
    <m/>
    <m/>
    <m/>
    <m/>
    <m/>
    <m/>
    <n v="0"/>
    <m/>
  </r>
  <r>
    <s v="IKARIA LLS"/>
    <x v="2"/>
    <x v="2"/>
    <x v="12"/>
    <s v="PRLC 0214"/>
    <s v="FHO"/>
    <s v="VAF"/>
    <x v="7"/>
    <m/>
    <s v="BW 1397"/>
    <m/>
    <m/>
    <m/>
    <m/>
    <n v="1460"/>
    <n v="196428.57142857142"/>
    <m/>
    <n v="9821.4285714285706"/>
    <n v="134.54011741682973"/>
    <n v="0"/>
    <n v="0"/>
    <n v="0"/>
    <n v="73"/>
    <m/>
    <n v="136.98630136986301"/>
    <s v="UA"/>
    <n v="600"/>
    <n v="0.15"/>
    <x v="1"/>
    <n v="20"/>
    <n v="20"/>
    <n v="20"/>
    <m/>
    <m/>
    <m/>
    <n v="935.05"/>
    <n v="975.5"/>
    <n v="46.752499999999998"/>
    <n v="48.774999999999999"/>
    <m/>
    <m/>
    <m/>
    <m/>
    <m/>
    <m/>
    <m/>
    <m/>
    <m/>
    <m/>
    <m/>
    <m/>
    <s v="collectif"/>
    <s v="oui"/>
    <m/>
    <m/>
    <m/>
    <m/>
    <m/>
    <m/>
    <d v="2019-11-12T00:00:00"/>
    <m/>
    <m/>
    <m/>
    <m/>
    <n v="0"/>
    <s v="x"/>
    <m/>
    <m/>
    <n v="0"/>
    <m/>
    <m/>
    <m/>
    <m/>
    <d v="1901-12-31T00:00:00"/>
    <m/>
    <s v="oui"/>
    <n v="-1472.8"/>
    <n v="0"/>
    <n v="0"/>
    <m/>
    <m/>
    <m/>
    <m/>
    <m/>
    <m/>
    <m/>
    <m/>
    <m/>
    <m/>
    <m/>
    <m/>
    <m/>
    <m/>
    <m/>
    <s v="0"/>
    <m/>
    <m/>
    <m/>
    <m/>
    <s v="0"/>
    <m/>
    <x v="69"/>
    <x v="7"/>
    <n v="1476.8666666666666"/>
    <s v="0"/>
    <n v="16"/>
    <n v="19"/>
    <m/>
    <d v="2020-04-29T00:00:00"/>
    <s v="0"/>
    <m/>
    <d v="2020-04-29T00:00:00"/>
    <s v="0"/>
    <m/>
    <d v="2020-04-29T00:00:00"/>
    <s v="0"/>
    <m/>
    <d v="2020-04-29T00:00:00"/>
    <s v="0"/>
    <m/>
    <m/>
    <s v="0"/>
    <m/>
    <d v="2020-04-29T00:00:00"/>
    <s v="0"/>
    <m/>
    <d v="2020-04-29T00:00:00"/>
    <s v="0"/>
    <m/>
    <m/>
    <m/>
    <d v="2022-08-20T00:00:00"/>
    <d v="2022-11-20T00:00:00"/>
    <n v="3.0666666666666669"/>
    <n v="31.166666666666668"/>
    <d v="2022-04-29T00:00:00"/>
    <m/>
    <m/>
    <d v="2023-03-22T00:00:00"/>
    <m/>
    <m/>
    <x v="68"/>
    <x v="8"/>
    <n v="1497.1666666666667"/>
    <m/>
    <n v="0"/>
    <m/>
    <m/>
    <m/>
    <m/>
    <m/>
    <m/>
    <n v="0"/>
    <m/>
    <m/>
    <m/>
    <m/>
    <m/>
    <m/>
    <m/>
    <m/>
    <m/>
    <m/>
    <m/>
    <d v="2023-11-20T00:00:00"/>
    <m/>
    <m/>
    <m/>
    <m/>
    <m/>
    <m/>
    <m/>
    <m/>
    <m/>
    <m/>
    <m/>
    <m/>
    <m/>
    <m/>
    <m/>
    <n v="2461350.7899999996"/>
    <n v="2461350.7899999996"/>
    <n v="2461350.7899999996"/>
    <n v="519388.94"/>
    <n v="2523.1684161968219"/>
    <n v="123067.53949999998"/>
    <n v="706185.28"/>
    <m/>
    <n v="35309.264000000003"/>
    <n v="1235776.5699999998"/>
    <n v="283888.09999999998"/>
    <n v="951888.47"/>
    <n v="61788.828499999989"/>
    <m/>
    <n v="460000"/>
    <m/>
    <n v="0.18688924872833754"/>
    <m/>
    <m/>
    <n v="59388.94"/>
    <n v="23000"/>
    <n v="58309.264000000003"/>
    <m/>
    <m/>
    <n v="58309.264000000003"/>
    <m/>
    <n v="58309.264000000003"/>
    <n v="0.47379889316792601"/>
    <m/>
    <m/>
    <m/>
    <m/>
    <n v="0"/>
    <n v="2461350.7899999996"/>
    <n v="100000"/>
    <n v="4.0628097549638593E-2"/>
    <m/>
    <n v="519388.94"/>
    <n v="0"/>
    <m/>
    <m/>
    <m/>
    <m/>
    <m/>
    <m/>
    <m/>
    <m/>
    <m/>
    <m/>
    <m/>
    <m/>
    <m/>
  </r>
  <r>
    <s v="INDIGO Tranche 1"/>
    <x v="1"/>
    <x v="1"/>
    <x v="2"/>
    <s v="PRLC 0185"/>
    <s v="JER"/>
    <s v="DBE"/>
    <x v="8"/>
    <m/>
    <s v="DD783 / 1298"/>
    <s v="_x000a_attente protocole DD 1298 pour prendre possession des lieux_x000a_lancer procédure expulsion bungalow"/>
    <m/>
    <m/>
    <m/>
    <n v="11037"/>
    <n v="705655.44208162103"/>
    <m/>
    <n v="8400.6600247812021"/>
    <n v="63.935439166587031"/>
    <n v="0"/>
    <n v="0"/>
    <n v="0"/>
    <n v="131.39285714285714"/>
    <m/>
    <n v="76.107637945093771"/>
    <m/>
    <m/>
    <m/>
    <x v="0"/>
    <n v="84"/>
    <n v="84"/>
    <m/>
    <n v="84"/>
    <m/>
    <m/>
    <m/>
    <n v="6502.48"/>
    <n v="0"/>
    <n v="77.410476190476189"/>
    <n v="6.01"/>
    <n v="5.37"/>
    <n v="412.03"/>
    <m/>
    <m/>
    <m/>
    <m/>
    <m/>
    <m/>
    <m/>
    <m/>
    <m/>
    <s v="collectif"/>
    <s v="oui"/>
    <m/>
    <m/>
    <m/>
    <m/>
    <s v="30/08/2016_x000a_01/02/17"/>
    <m/>
    <d v="2017-02-17T00:00:00"/>
    <m/>
    <d v="2017-03-30T00:00:00"/>
    <d v="2017-07-13T00:00:00"/>
    <d v="2017-10-02T00:00:00"/>
    <n v="3.5"/>
    <s v="x"/>
    <m/>
    <m/>
    <n v="0"/>
    <m/>
    <d v="1900-03-31T00:00:00"/>
    <m/>
    <m/>
    <d v="1901-12-31T00:00:00"/>
    <m/>
    <s v="oui"/>
    <n v="-1473.8333333333333"/>
    <s v="0"/>
    <n v="0"/>
    <m/>
    <m/>
    <m/>
    <s v="0"/>
    <m/>
    <m/>
    <s v="0"/>
    <m/>
    <m/>
    <s v="0"/>
    <m/>
    <m/>
    <s v="0"/>
    <m/>
    <m/>
    <s v="0"/>
    <m/>
    <m/>
    <m/>
    <m/>
    <s v="0"/>
    <m/>
    <x v="57"/>
    <x v="7"/>
    <n v="37.799999999999997"/>
    <s v="0"/>
    <n v="24"/>
    <n v="28"/>
    <d v="2019-11-24T00:00:00"/>
    <d v="2020-04-29T00:00:00"/>
    <n v="157"/>
    <d v="2020-01-24T00:00:00"/>
    <d v="2020-04-29T00:00:00"/>
    <n v="96"/>
    <m/>
    <d v="2020-04-29T00:00:00"/>
    <s v="0"/>
    <m/>
    <d v="2020-04-29T00:00:00"/>
    <s v="0"/>
    <m/>
    <m/>
    <s v="0"/>
    <m/>
    <d v="2020-04-29T00:00:00"/>
    <s v="0"/>
    <m/>
    <d v="2020-04-29T00:00:00"/>
    <s v="0"/>
    <m/>
    <m/>
    <m/>
    <d v="2022-08-20T00:00:00"/>
    <d v="2022-12-20T00:00:00"/>
    <n v="4.0666666666666664"/>
    <n v="32.166666666666664"/>
    <d v="2022-04-29T00:00:00"/>
    <m/>
    <m/>
    <m/>
    <m/>
    <d v="2022-09-20T00:00:00"/>
    <x v="69"/>
    <x v="8"/>
    <n v="4.0666666666666664"/>
    <n v="34578"/>
    <n v="140617.19999999998"/>
    <m/>
    <n v="0"/>
    <n v="0"/>
    <m/>
    <m/>
    <m/>
    <n v="0"/>
    <m/>
    <m/>
    <s v="PRO à recevoir en 02/18 - PC modif à déposer"/>
    <m/>
    <d v="2022-04-29T00:00:00"/>
    <m/>
    <m/>
    <m/>
    <m/>
    <m/>
    <m/>
    <d v="2023-12-20T00:00:00"/>
    <m/>
    <m/>
    <m/>
    <m/>
    <m/>
    <m/>
    <m/>
    <m/>
    <m/>
    <m/>
    <m/>
    <m/>
    <m/>
    <m/>
    <m/>
    <n v="13426540.392222375"/>
    <n v="13426540.392222375"/>
    <n v="13426540.392222375"/>
    <n v="1561645.3922223744"/>
    <n v="2064.8337852976674"/>
    <n v="159839.76657407588"/>
    <n v="4528285"/>
    <m/>
    <n v="53908.154761904763"/>
    <n v="7336610"/>
    <n v="1222786"/>
    <n v="6113824"/>
    <n v="87340.595238095237"/>
    <m/>
    <n v="1512000"/>
    <m/>
    <n v="0.11261277706920392"/>
    <m/>
    <m/>
    <n v="49645.392222374365"/>
    <n v="18000"/>
    <n v="71908.154761904763"/>
    <m/>
    <m/>
    <n v="71908.154761904763"/>
    <m/>
    <n v="71908.154761904763"/>
    <n v="0.44987650009223307"/>
    <m/>
    <m/>
    <n v="0"/>
    <n v="1253915"/>
    <n v="9.3390774046779645E-2"/>
    <n v="12172625.392222375"/>
    <n v="700000"/>
    <n v="0.14552631898622589"/>
    <n v="27200"/>
    <n v="1534445.3922223744"/>
    <n v="1.7417526498311971E-2"/>
    <s v="foncier déjà acheté_x000a_à dépenser ACT + 1e situation GO / VRD + DO"/>
    <m/>
    <m/>
    <m/>
    <n v="0"/>
    <m/>
    <m/>
    <m/>
    <m/>
    <m/>
    <m/>
    <n v="0"/>
    <m/>
  </r>
  <r>
    <s v="INDIGO LLS"/>
    <x v="1"/>
    <x v="1"/>
    <x v="8"/>
    <s v="PRLC 0192"/>
    <s v="JER"/>
    <s v="DBE"/>
    <x v="8"/>
    <m/>
    <s v="DD783 / 1298"/>
    <s v="_x000a_attente protocole DD 1298 pour prendre possession des lieux_x000a_lancer procédure expulsion bungalow"/>
    <m/>
    <m/>
    <m/>
    <n v="4783.68"/>
    <n v="230090"/>
    <m/>
    <n v="10458.636363636364"/>
    <n v="48.098953107231253"/>
    <n v="0"/>
    <n v="0"/>
    <n v="0"/>
    <n v="217.44000000000003"/>
    <m/>
    <n v="45.989698307579097"/>
    <m/>
    <m/>
    <m/>
    <x v="1"/>
    <n v="22"/>
    <n v="22"/>
    <n v="22"/>
    <m/>
    <m/>
    <m/>
    <n v="2034.59"/>
    <n v="2079.59"/>
    <n v="92.481363636363639"/>
    <n v="94.526818181818186"/>
    <n v="6.48"/>
    <n v="6.34"/>
    <n v="599.32000000000005"/>
    <m/>
    <m/>
    <m/>
    <n v="0.54545454545454541"/>
    <n v="0.45454545454545453"/>
    <m/>
    <m/>
    <m/>
    <m/>
    <s v="collectif"/>
    <s v="oui"/>
    <m/>
    <m/>
    <m/>
    <m/>
    <s v="30/08/2016_x000a_01/02/17_x000a_06/04/17"/>
    <m/>
    <d v="2018-07-27T00:00:00"/>
    <d v="2019-09-05T00:00:00"/>
    <d v="2018-03-30T00:00:00"/>
    <d v="2018-08-22T00:00:00"/>
    <m/>
    <n v="4.833333333333333"/>
    <s v="x"/>
    <m/>
    <m/>
    <n v="0"/>
    <m/>
    <d v="1900-03-31T00:00:00"/>
    <m/>
    <m/>
    <d v="1901-12-31T00:00:00"/>
    <m/>
    <s v="oui"/>
    <n v="-1473.8333333333333"/>
    <s v="0"/>
    <n v="0"/>
    <m/>
    <m/>
    <m/>
    <s v="0"/>
    <m/>
    <m/>
    <s v="0"/>
    <m/>
    <m/>
    <s v="0"/>
    <m/>
    <m/>
    <s v="0"/>
    <m/>
    <m/>
    <s v="0"/>
    <m/>
    <m/>
    <m/>
    <m/>
    <s v="0"/>
    <m/>
    <x v="57"/>
    <x v="7"/>
    <n v="24.3"/>
    <s v="0"/>
    <n v="24"/>
    <n v="28"/>
    <d v="2019-11-24T00:00:00"/>
    <d v="2020-04-29T00:00:00"/>
    <n v="157"/>
    <d v="2020-01-24T00:00:00"/>
    <d v="2020-04-29T00:00:00"/>
    <n v="96"/>
    <m/>
    <d v="2020-04-29T00:00:00"/>
    <s v="0"/>
    <m/>
    <d v="2020-04-29T00:00:00"/>
    <s v="0"/>
    <m/>
    <m/>
    <s v="0"/>
    <m/>
    <d v="2020-04-29T00:00:00"/>
    <s v="0"/>
    <m/>
    <d v="2020-04-29T00:00:00"/>
    <s v="0"/>
    <m/>
    <m/>
    <m/>
    <d v="2022-08-20T00:00:00"/>
    <d v="2022-12-20T00:00:00"/>
    <n v="4.0666666666666664"/>
    <n v="32.166666666666664"/>
    <d v="2022-04-29T00:00:00"/>
    <m/>
    <m/>
    <m/>
    <m/>
    <d v="2022-09-20T00:00:00"/>
    <x v="69"/>
    <x v="8"/>
    <n v="4.0666666666666664"/>
    <n v="13231"/>
    <n v="53806.066666666666"/>
    <m/>
    <n v="0"/>
    <n v="0"/>
    <m/>
    <m/>
    <m/>
    <n v="0"/>
    <m/>
    <m/>
    <s v="PC à déposer 10/02/18 au plus tard"/>
    <s v="offres entreprises à recevoir 04/09/19"/>
    <d v="2022-04-29T00:00:00"/>
    <m/>
    <m/>
    <m/>
    <m/>
    <m/>
    <m/>
    <d v="2023-12-20T00:00:00"/>
    <m/>
    <m/>
    <m/>
    <m/>
    <m/>
    <m/>
    <m/>
    <m/>
    <m/>
    <m/>
    <m/>
    <m/>
    <m/>
    <m/>
    <m/>
    <n v="4761024.0180526366"/>
    <n v="4761024.0180526366"/>
    <n v="4761024.0180526366"/>
    <n v="439624.0180526367"/>
    <n v="2289.4051318060947"/>
    <n v="216410.1826387562"/>
    <n v="1615720"/>
    <m/>
    <n v="73441.818181818177"/>
    <n v="2562680"/>
    <n v="499292"/>
    <n v="2063388"/>
    <n v="116485.45454545454"/>
    <m/>
    <n v="418000"/>
    <m/>
    <n v="8.7796238459425205E-2"/>
    <n v="143000"/>
    <m/>
    <n v="21624.0180526367"/>
    <n v="19000"/>
    <n v="92441.818181818177"/>
    <m/>
    <m/>
    <n v="92441.818181818177"/>
    <m/>
    <n v="92441.818181818177"/>
    <n v="0.42716020593230197"/>
    <m/>
    <m/>
    <n v="0"/>
    <n v="945333.83293999988"/>
    <n v="0.19855682923579582"/>
    <n v="9945581.1851126384"/>
    <n v="500000"/>
    <n v="0.13271004599193303"/>
    <n v="97825.35"/>
    <n v="341798.66805263667"/>
    <n v="0.2225204856489148"/>
    <m/>
    <m/>
    <m/>
    <m/>
    <n v="0"/>
    <m/>
    <m/>
    <m/>
    <m/>
    <m/>
    <m/>
    <n v="0"/>
    <m/>
  </r>
  <r>
    <s v="INDIGO LLTS"/>
    <x v="1"/>
    <x v="1"/>
    <x v="8"/>
    <s v="PRLC 0192"/>
    <m/>
    <m/>
    <x v="12"/>
    <m/>
    <s v="DD783 / 1298"/>
    <s v="_x000a_attente protocole DD 1298 pour prendre possession des lieux_x000a_lancer procédure expulsion bungalow"/>
    <m/>
    <m/>
    <m/>
    <n v="6088.3200000000006"/>
    <n v="290092"/>
    <m/>
    <n v="8532.1176470588234"/>
    <n v="47.64729843372227"/>
    <n v="0"/>
    <n v="0"/>
    <n v="0"/>
    <n v="179.06823529411767"/>
    <m/>
    <n v="55.84463365920319"/>
    <m/>
    <m/>
    <m/>
    <x v="0"/>
    <n v="34"/>
    <n v="34"/>
    <m/>
    <n v="34"/>
    <m/>
    <m/>
    <n v="2347.75"/>
    <n v="2623.45"/>
    <n v="69.05147058823529"/>
    <n v="77.160294117647055"/>
    <n v="5.9828543468996109"/>
    <n v="5.35"/>
    <n v="413.12"/>
    <n v="2.9411764705882353E-2"/>
    <n v="0.29411764705882354"/>
    <n v="0.47058823529411764"/>
    <n v="0.20588235294117646"/>
    <m/>
    <m/>
    <m/>
    <m/>
    <m/>
    <s v="collectif"/>
    <s v="oui"/>
    <m/>
    <m/>
    <m/>
    <m/>
    <s v="30/08/2016_x000a_01/02/17_x000a_06/04/17"/>
    <m/>
    <d v="2018-07-27T00:00:00"/>
    <d v="2019-09-05T00:00:00"/>
    <d v="2018-03-30T00:00:00"/>
    <d v="2018-08-22T00:00:00"/>
    <m/>
    <n v="4.833333333333333"/>
    <s v="x"/>
    <m/>
    <m/>
    <n v="0"/>
    <m/>
    <d v="1900-03-31T00:00:00"/>
    <m/>
    <m/>
    <d v="1901-12-31T00:00:00"/>
    <m/>
    <s v="oui"/>
    <n v="-1473.8333333333333"/>
    <s v="0"/>
    <n v="0"/>
    <m/>
    <m/>
    <m/>
    <s v="0"/>
    <m/>
    <m/>
    <s v="0"/>
    <m/>
    <m/>
    <s v="0"/>
    <m/>
    <m/>
    <s v="0"/>
    <m/>
    <m/>
    <s v="0"/>
    <m/>
    <m/>
    <m/>
    <m/>
    <s v="0"/>
    <m/>
    <x v="57"/>
    <x v="7"/>
    <n v="24.3"/>
    <s v="0"/>
    <n v="24"/>
    <n v="28"/>
    <d v="2019-11-24T00:00:00"/>
    <d v="2020-04-29T00:00:00"/>
    <n v="157"/>
    <d v="2020-01-24T00:00:00"/>
    <d v="2020-04-29T00:00:00"/>
    <n v="96"/>
    <m/>
    <d v="2020-04-29T00:00:00"/>
    <s v="0"/>
    <m/>
    <d v="2020-04-29T00:00:00"/>
    <s v="0"/>
    <m/>
    <m/>
    <s v="0"/>
    <m/>
    <d v="2020-04-29T00:00:00"/>
    <s v="0"/>
    <m/>
    <d v="2020-04-29T00:00:00"/>
    <s v="0"/>
    <m/>
    <m/>
    <m/>
    <d v="2022-08-20T00:00:00"/>
    <d v="2022-12-20T00:00:00"/>
    <n v="4.0666666666666664"/>
    <n v="32.166666666666664"/>
    <d v="2022-04-29T00:00:00"/>
    <m/>
    <m/>
    <m/>
    <m/>
    <d v="2022-09-20T00:00:00"/>
    <x v="69"/>
    <x v="8"/>
    <n v="4.0666666666666664"/>
    <n v="14099"/>
    <n v="57335.933333333327"/>
    <m/>
    <m/>
    <n v="0"/>
    <m/>
    <m/>
    <m/>
    <n v="0"/>
    <m/>
    <m/>
    <m/>
    <m/>
    <d v="2022-04-29T00:00:00"/>
    <m/>
    <m/>
    <m/>
    <m/>
    <m/>
    <m/>
    <d v="2023-12-20T00:00:00"/>
    <m/>
    <m/>
    <m/>
    <m/>
    <m/>
    <m/>
    <m/>
    <m/>
    <m/>
    <m/>
    <m/>
    <m/>
    <m/>
    <m/>
    <m/>
    <n v="6129891"/>
    <n v="6129891"/>
    <n v="6129891"/>
    <n v="741279"/>
    <n v="2336.5762640797425"/>
    <n v="180290.91176470587"/>
    <n v="1974515"/>
    <m/>
    <n v="58073.970588235294"/>
    <n v="3193097"/>
    <n v="617258"/>
    <n v="2575839"/>
    <n v="93914.617647058825"/>
    <m/>
    <n v="714000"/>
    <m/>
    <n v="0.1164784169897964"/>
    <n v="221000"/>
    <m/>
    <n v="27279"/>
    <n v="21000"/>
    <n v="79073.970588235301"/>
    <m/>
    <m/>
    <n v="79073.970588235301"/>
    <m/>
    <n v="79073.970588235301"/>
    <n v="0.4385909961531127"/>
    <m/>
    <m/>
    <n v="0"/>
    <m/>
    <n v="0"/>
    <m/>
    <m/>
    <m/>
    <n v="28778.48"/>
    <n v="712500.52"/>
    <n v="3.8822737457826273E-2"/>
    <m/>
    <m/>
    <m/>
    <m/>
    <n v="0"/>
    <m/>
    <m/>
    <m/>
    <m/>
    <m/>
    <m/>
    <n v="0"/>
    <m/>
  </r>
  <r>
    <s v="VEFA JARDINS PARTAGES T1 LLS"/>
    <x v="2"/>
    <x v="2"/>
    <x v="12"/>
    <s v="PRLC 0220"/>
    <s v="BBL"/>
    <s v="DBE"/>
    <x v="7"/>
    <m/>
    <s v="EN 563"/>
    <m/>
    <m/>
    <m/>
    <m/>
    <n v="33407"/>
    <m/>
    <m/>
    <n v="0"/>
    <n v="0"/>
    <n v="0"/>
    <n v="0"/>
    <n v="0"/>
    <n v="273.82786885245901"/>
    <m/>
    <n v="36.519292363875834"/>
    <m/>
    <m/>
    <m/>
    <x v="1"/>
    <n v="122"/>
    <n v="122"/>
    <n v="122"/>
    <m/>
    <m/>
    <m/>
    <n v="9271.5300000000007"/>
    <n v="10913.8"/>
    <n v="75.996147540983614"/>
    <n v="89.457377049180323"/>
    <m/>
    <m/>
    <m/>
    <m/>
    <m/>
    <m/>
    <m/>
    <m/>
    <m/>
    <m/>
    <m/>
    <m/>
    <m/>
    <m/>
    <n v="22322488.699999999"/>
    <n v="2407.6380813091255"/>
    <n v="2045.3452234785318"/>
    <n v="182971.21885245902"/>
    <d v="2018-11-22T00:00:00"/>
    <m/>
    <d v="2019-12-17T00:00:00"/>
    <m/>
    <m/>
    <m/>
    <m/>
    <n v="0"/>
    <s v="x"/>
    <m/>
    <m/>
    <n v="0"/>
    <m/>
    <m/>
    <m/>
    <m/>
    <d v="1901-12-31T00:00:00"/>
    <m/>
    <s v="oui"/>
    <n v="-1474.8666666666666"/>
    <n v="0"/>
    <n v="0"/>
    <m/>
    <m/>
    <m/>
    <s v="0"/>
    <m/>
    <m/>
    <s v="0"/>
    <m/>
    <d v="2020-04-29T00:00:00"/>
    <s v="0"/>
    <m/>
    <d v="2020-04-29T00:00:00"/>
    <s v="0"/>
    <m/>
    <d v="2020-04-29T00:00:00"/>
    <s v="0"/>
    <m/>
    <m/>
    <m/>
    <m/>
    <s v="0"/>
    <d v="2021-07-01T00:00:00"/>
    <x v="67"/>
    <x v="7"/>
    <n v="1475.8333333333333"/>
    <n v="-103"/>
    <n v="22"/>
    <n v="22"/>
    <m/>
    <d v="2020-04-29T00:00:00"/>
    <s v="0"/>
    <m/>
    <d v="2020-04-29T00:00:00"/>
    <s v="0"/>
    <m/>
    <d v="2020-04-29T00:00:00"/>
    <s v="0"/>
    <d v="2019-03-08T00:00:00"/>
    <d v="2020-04-29T00:00:00"/>
    <n v="418"/>
    <m/>
    <m/>
    <s v="0"/>
    <m/>
    <d v="2020-04-29T00:00:00"/>
    <s v="0"/>
    <d v="2019-05-24T00:00:00"/>
    <d v="2020-04-29T00:00:00"/>
    <n v="341"/>
    <m/>
    <m/>
    <m/>
    <d v="2023-01-20T00:00:00"/>
    <d v="2023-01-20T00:00:00"/>
    <n v="0"/>
    <n v="33.200000000000003"/>
    <d v="2022-04-29T00:00:00"/>
    <m/>
    <m/>
    <d v="2023-05-22T00:00:00"/>
    <m/>
    <d v="2023-02-20T00:00:00"/>
    <x v="70"/>
    <x v="8"/>
    <n v="0"/>
    <m/>
    <n v="0"/>
    <m/>
    <m/>
    <m/>
    <m/>
    <m/>
    <m/>
    <n v="0"/>
    <m/>
    <m/>
    <m/>
    <s v="PC à déposer"/>
    <d v="2022-04-29T00:00:00"/>
    <m/>
    <m/>
    <m/>
    <m/>
    <m/>
    <m/>
    <d v="2024-01-20T00:00:00"/>
    <m/>
    <m/>
    <m/>
    <m/>
    <m/>
    <m/>
    <m/>
    <m/>
    <m/>
    <m/>
    <m/>
    <m/>
    <m/>
    <m/>
    <m/>
    <n v="23298808"/>
    <n v="23298808"/>
    <n v="23298808"/>
    <n v="2074000"/>
    <n v="2134.8025435686932"/>
    <n v="190973.83606557376"/>
    <n v="7404711"/>
    <m/>
    <n v="60694.352459016394"/>
    <n v="13820097"/>
    <n v="2431893"/>
    <n v="11388204"/>
    <n v="113279.48360655738"/>
    <m/>
    <n v="2074000"/>
    <m/>
    <n v="8.9017429561203301E-2"/>
    <m/>
    <m/>
    <m/>
    <n v="17000"/>
    <n v="77694.352459016387"/>
    <m/>
    <m/>
    <n v="77694.352459016387"/>
    <m/>
    <n v="77694.352459016387"/>
    <n v="0.40683244396022322"/>
    <m/>
    <m/>
    <m/>
    <m/>
    <n v="0"/>
    <n v="23298808"/>
    <n v="0"/>
    <n v="0"/>
    <m/>
    <n v="2074000"/>
    <n v="0"/>
    <m/>
    <m/>
    <m/>
    <m/>
    <n v="0"/>
    <m/>
    <m/>
    <m/>
    <m/>
    <m/>
    <m/>
    <m/>
    <m/>
  </r>
  <r>
    <s v="VEFA JARDINS PARTAGES T1 LLTS"/>
    <x v="2"/>
    <x v="2"/>
    <x v="12"/>
    <s v="PRLC 0220"/>
    <m/>
    <m/>
    <x v="10"/>
    <m/>
    <s v="EN 563"/>
    <m/>
    <m/>
    <m/>
    <m/>
    <n v="33407"/>
    <m/>
    <m/>
    <n v="0"/>
    <n v="0"/>
    <n v="0"/>
    <n v="0"/>
    <n v="0"/>
    <n v="6681.4"/>
    <m/>
    <n v="1.4966923099949112"/>
    <m/>
    <m/>
    <m/>
    <x v="0"/>
    <n v="5"/>
    <n v="5"/>
    <m/>
    <n v="5"/>
    <m/>
    <m/>
    <n v="237.6"/>
    <n v="323.51"/>
    <n v="47.519999999999996"/>
    <n v="64.701999999999998"/>
    <m/>
    <m/>
    <m/>
    <m/>
    <m/>
    <m/>
    <m/>
    <m/>
    <m/>
    <m/>
    <m/>
    <m/>
    <m/>
    <m/>
    <n v="646374.68000000005"/>
    <n v="2720.4321548821554"/>
    <n v="1998.0052548607464"/>
    <n v="129274.93600000002"/>
    <d v="2018-11-22T00:00:00"/>
    <m/>
    <d v="2019-12-17T00:00:00"/>
    <m/>
    <m/>
    <m/>
    <m/>
    <n v="0"/>
    <s v="x"/>
    <m/>
    <m/>
    <n v="0"/>
    <m/>
    <m/>
    <m/>
    <m/>
    <d v="1901-12-31T00:00:00"/>
    <m/>
    <s v="oui"/>
    <n v="-1474.8666666666666"/>
    <n v="0"/>
    <n v="0"/>
    <m/>
    <m/>
    <m/>
    <s v="0"/>
    <m/>
    <m/>
    <s v="0"/>
    <m/>
    <d v="2020-04-29T00:00:00"/>
    <s v="0"/>
    <m/>
    <d v="2020-04-29T00:00:00"/>
    <s v="0"/>
    <m/>
    <d v="2020-04-29T00:00:00"/>
    <s v="0"/>
    <m/>
    <m/>
    <m/>
    <m/>
    <s v="0"/>
    <d v="2021-07-01T00:00:00"/>
    <x v="67"/>
    <x v="7"/>
    <n v="1475.8333333333333"/>
    <n v="-103"/>
    <n v="22"/>
    <n v="22"/>
    <m/>
    <d v="2020-04-29T00:00:00"/>
    <s v="0"/>
    <m/>
    <d v="2020-04-29T00:00:00"/>
    <s v="0"/>
    <m/>
    <d v="2020-04-29T00:00:00"/>
    <s v="0"/>
    <d v="2019-03-08T00:00:00"/>
    <d v="2020-04-29T00:00:00"/>
    <n v="418"/>
    <m/>
    <m/>
    <s v="0"/>
    <m/>
    <d v="2020-04-29T00:00:00"/>
    <s v="0"/>
    <d v="2019-05-24T00:00:00"/>
    <d v="2020-04-29T00:00:00"/>
    <n v="341"/>
    <m/>
    <m/>
    <m/>
    <d v="2023-01-20T00:00:00"/>
    <d v="2023-01-20T00:00:00"/>
    <n v="0"/>
    <n v="33.200000000000003"/>
    <d v="2022-04-29T00:00:00"/>
    <m/>
    <m/>
    <d v="2023-05-22T00:00:00"/>
    <m/>
    <d v="2023-02-20T00:00:00"/>
    <x v="70"/>
    <x v="8"/>
    <n v="0"/>
    <m/>
    <n v="0"/>
    <m/>
    <m/>
    <m/>
    <m/>
    <m/>
    <m/>
    <n v="0"/>
    <m/>
    <m/>
    <m/>
    <s v="PC à déposer"/>
    <d v="2022-04-29T00:00:00"/>
    <m/>
    <m/>
    <m/>
    <m/>
    <m/>
    <m/>
    <d v="2024-01-20T00:00:00"/>
    <m/>
    <m/>
    <m/>
    <m/>
    <m/>
    <m/>
    <m/>
    <m/>
    <m/>
    <m/>
    <m/>
    <m/>
    <m/>
    <m/>
    <m/>
    <n v="675601.19"/>
    <n v="675601.19"/>
    <n v="675601.19"/>
    <n v="100000"/>
    <n v="2088.3471608296495"/>
    <n v="135120.23799999998"/>
    <n v="209664.19"/>
    <m/>
    <n v="41932.838000000003"/>
    <n v="365937"/>
    <n v="64199"/>
    <n v="301738"/>
    <n v="73187.399999999994"/>
    <m/>
    <n v="100000"/>
    <m/>
    <n v="0.14801631714118207"/>
    <m/>
    <m/>
    <m/>
    <n v="20000"/>
    <n v="61932.838000000003"/>
    <m/>
    <m/>
    <n v="61932.838000000003"/>
    <m/>
    <n v="61932.838000000003"/>
    <n v="0.45835352954307262"/>
    <m/>
    <m/>
    <m/>
    <m/>
    <n v="0"/>
    <n v="675601.19"/>
    <n v="0"/>
    <n v="0"/>
    <m/>
    <n v="100000"/>
    <n v="0"/>
    <m/>
    <m/>
    <m/>
    <m/>
    <n v="0"/>
    <m/>
    <m/>
    <m/>
    <m/>
    <m/>
    <m/>
    <m/>
    <m/>
  </r>
  <r>
    <s v="VEFA JARDINS PARTAGES T1 PLS"/>
    <x v="2"/>
    <x v="2"/>
    <x v="12"/>
    <s v="PRLC 0220"/>
    <m/>
    <m/>
    <x v="10"/>
    <m/>
    <s v="EN 563"/>
    <m/>
    <m/>
    <m/>
    <m/>
    <n v="33407"/>
    <m/>
    <m/>
    <n v="0"/>
    <n v="0"/>
    <n v="0"/>
    <n v="0"/>
    <n v="0"/>
    <n v="835.17499999999995"/>
    <m/>
    <n v="11.97353847995929"/>
    <m/>
    <m/>
    <m/>
    <x v="3"/>
    <n v="40"/>
    <n v="40"/>
    <m/>
    <m/>
    <n v="40"/>
    <m/>
    <n v="3064.24"/>
    <n v="3514.63"/>
    <n v="76.605999999999995"/>
    <n v="87.865750000000006"/>
    <m/>
    <m/>
    <m/>
    <m/>
    <m/>
    <m/>
    <m/>
    <m/>
    <m/>
    <m/>
    <m/>
    <m/>
    <m/>
    <m/>
    <n v="7677879.8799999999"/>
    <n v="2505.6392058063338"/>
    <n v="2184.5485527637334"/>
    <n v="191946.997"/>
    <d v="2018-11-22T00:00:00"/>
    <m/>
    <d v="2019-12-17T00:00:00"/>
    <m/>
    <m/>
    <m/>
    <m/>
    <n v="0"/>
    <s v="x"/>
    <m/>
    <m/>
    <n v="0"/>
    <m/>
    <m/>
    <m/>
    <m/>
    <d v="1901-12-31T00:00:00"/>
    <m/>
    <s v="oui"/>
    <n v="-1474.8666666666666"/>
    <n v="0"/>
    <n v="0"/>
    <m/>
    <m/>
    <m/>
    <s v="0"/>
    <m/>
    <m/>
    <s v="0"/>
    <m/>
    <d v="2020-04-29T00:00:00"/>
    <s v="0"/>
    <m/>
    <d v="2020-04-29T00:00:00"/>
    <s v="0"/>
    <m/>
    <d v="2020-04-29T00:00:00"/>
    <s v="0"/>
    <m/>
    <m/>
    <m/>
    <m/>
    <s v="0"/>
    <d v="2021-07-01T00:00:00"/>
    <x v="67"/>
    <x v="7"/>
    <n v="1475.8333333333333"/>
    <n v="-103"/>
    <n v="22"/>
    <n v="22"/>
    <m/>
    <d v="2020-04-29T00:00:00"/>
    <s v="0"/>
    <m/>
    <d v="2020-04-29T00:00:00"/>
    <s v="0"/>
    <m/>
    <d v="2020-04-29T00:00:00"/>
    <s v="0"/>
    <d v="2019-03-08T00:00:00"/>
    <d v="2020-04-29T00:00:00"/>
    <n v="418"/>
    <m/>
    <m/>
    <s v="0"/>
    <m/>
    <d v="2020-04-29T00:00:00"/>
    <s v="0"/>
    <d v="2019-05-24T00:00:00"/>
    <d v="2020-04-29T00:00:00"/>
    <n v="341"/>
    <m/>
    <m/>
    <m/>
    <d v="2023-01-20T00:00:00"/>
    <d v="2023-01-20T00:00:00"/>
    <n v="0"/>
    <n v="33.200000000000003"/>
    <d v="2022-04-29T00:00:00"/>
    <m/>
    <m/>
    <d v="2023-05-22T00:00:00"/>
    <m/>
    <d v="2023-02-20T00:00:00"/>
    <x v="70"/>
    <x v="8"/>
    <n v="0"/>
    <m/>
    <n v="0"/>
    <m/>
    <m/>
    <m/>
    <m/>
    <m/>
    <m/>
    <n v="0"/>
    <m/>
    <m/>
    <m/>
    <s v="PC à déposer"/>
    <d v="2022-04-29T00:00:00"/>
    <m/>
    <m/>
    <m/>
    <m/>
    <m/>
    <m/>
    <d v="2024-01-20T00:00:00"/>
    <m/>
    <m/>
    <m/>
    <m/>
    <m/>
    <m/>
    <m/>
    <m/>
    <m/>
    <m/>
    <m/>
    <m/>
    <m/>
    <m/>
    <m/>
    <n v="8012520.9299999997"/>
    <n v="8012520.9299999997"/>
    <n v="8012520.9299999997"/>
    <n v="0"/>
    <n v="2279.7622879221994"/>
    <n v="200313.02325"/>
    <n v="2828792.93"/>
    <m/>
    <n v="70719.823250000001"/>
    <n v="4166511"/>
    <n v="875247"/>
    <n v="3291264"/>
    <n v="104162.77499999999"/>
    <n v="1017217"/>
    <n v="0"/>
    <m/>
    <n v="0"/>
    <m/>
    <m/>
    <m/>
    <n v="0"/>
    <n v="70719.823250000001"/>
    <m/>
    <m/>
    <n v="70719.823250000001"/>
    <m/>
    <n v="70719.823250000001"/>
    <n v="0.35304655734609108"/>
    <m/>
    <m/>
    <m/>
    <m/>
    <n v="0"/>
    <n v="8012520.9299999997"/>
    <n v="0"/>
    <n v="0"/>
    <m/>
    <n v="0"/>
    <e v="#DIV/0!"/>
    <m/>
    <m/>
    <m/>
    <m/>
    <n v="0"/>
    <m/>
    <m/>
    <m/>
    <m/>
    <m/>
    <m/>
    <n v="0"/>
    <m/>
  </r>
  <r>
    <s v="GORBATCHEV"/>
    <x v="2"/>
    <x v="2"/>
    <x v="12"/>
    <s v="PRLC 0206"/>
    <s v="YFR"/>
    <s v="SRI"/>
    <x v="13"/>
    <m/>
    <s v="BY 284"/>
    <s v="attente offres MOE 25/10/18 pour lancer ESQ_x000a_portage EPFR prévu / topo toujours pas commandé"/>
    <m/>
    <m/>
    <m/>
    <n v="1043"/>
    <n v="320000"/>
    <n v="320000"/>
    <n v="10322.58064516129"/>
    <n v="306.80728667305851"/>
    <n v="306.80728667305851"/>
    <n v="113.24827915700811"/>
    <n v="10322.58064516129"/>
    <n v="33.645161290322584"/>
    <m/>
    <n v="297.21955896452539"/>
    <s v="UAa"/>
    <n v="600"/>
    <n v="0.2"/>
    <x v="3"/>
    <n v="31"/>
    <n v="31"/>
    <m/>
    <m/>
    <n v="31"/>
    <m/>
    <n v="2393.5700000000002"/>
    <n v="2825.65"/>
    <n v="77.211935483870974"/>
    <n v="91.15"/>
    <m/>
    <n v="9.8699999999999992"/>
    <m/>
    <m/>
    <m/>
    <n v="0.80645161290322576"/>
    <n v="0.19354838709677419"/>
    <m/>
    <m/>
    <s v="SO"/>
    <s v="SO"/>
    <m/>
    <s v="collectif"/>
    <s v="oui"/>
    <m/>
    <m/>
    <n v="0"/>
    <m/>
    <s v="25/04/19 DEAL"/>
    <m/>
    <d v="2019-11-12T00:00:00"/>
    <m/>
    <m/>
    <m/>
    <m/>
    <n v="0"/>
    <s v="x"/>
    <m/>
    <m/>
    <n v="0"/>
    <m/>
    <m/>
    <m/>
    <m/>
    <d v="1901-12-31T00:00:00"/>
    <m/>
    <s v="oui"/>
    <n v="-1475.1666666666667"/>
    <n v="0"/>
    <n v="0"/>
    <d v="2018-12-03T00:00:00"/>
    <d v="2018-12-19T00:00:00"/>
    <d v="2018-12-03T00:00:00"/>
    <n v="-16"/>
    <d v="2019-05-29T00:00:00"/>
    <d v="2019-05-29T00:00:00"/>
    <n v="0"/>
    <d v="2019-06-15T00:00:00"/>
    <d v="2019-08-16T00:00:00"/>
    <n v="62"/>
    <d v="2019-09-23T00:00:00"/>
    <d v="2020-01-23T00:00:00"/>
    <n v="122"/>
    <d v="2019-10-28T00:00:00"/>
    <d v="2020-04-29T00:00:00"/>
    <n v="184"/>
    <m/>
    <m/>
    <d v="2019-12-09T00:00:00"/>
    <m/>
    <s v="0"/>
    <d v="2021-07-01T00:00:00"/>
    <x v="70"/>
    <x v="7"/>
    <n v="1479.2666666666667"/>
    <n v="0"/>
    <n v="16"/>
    <n v="19"/>
    <m/>
    <d v="2020-04-29T00:00:00"/>
    <s v="0"/>
    <m/>
    <d v="2020-04-29T00:00:00"/>
    <s v="0"/>
    <m/>
    <d v="2020-04-29T00:00:00"/>
    <s v="0"/>
    <m/>
    <d v="2020-04-29T00:00:00"/>
    <s v="0"/>
    <m/>
    <m/>
    <s v="0"/>
    <m/>
    <d v="2020-04-29T00:00:00"/>
    <s v="0"/>
    <m/>
    <d v="2020-04-29T00:00:00"/>
    <s v="0"/>
    <m/>
    <m/>
    <m/>
    <d v="2022-11-01T00:00:00"/>
    <d v="2023-02-01T00:00:00"/>
    <n v="3.0666666666666669"/>
    <n v="33.6"/>
    <d v="2022-04-29T00:00:00"/>
    <m/>
    <m/>
    <d v="2023-06-03T00:00:00"/>
    <m/>
    <d v="2022-12-01T00:00:00"/>
    <x v="71"/>
    <x v="8"/>
    <n v="3"/>
    <m/>
    <n v="0"/>
    <m/>
    <m/>
    <n v="0"/>
    <m/>
    <m/>
    <m/>
    <n v="0"/>
    <m/>
    <m/>
    <m/>
    <s v="PC en instruction"/>
    <d v="2022-04-29T00:00:00"/>
    <m/>
    <m/>
    <m/>
    <m/>
    <m/>
    <m/>
    <d v="2024-02-01T00:00:00"/>
    <m/>
    <m/>
    <m/>
    <m/>
    <m/>
    <m/>
    <m/>
    <m/>
    <m/>
    <m/>
    <m/>
    <m/>
    <m/>
    <m/>
    <m/>
    <n v="6208205.7600000007"/>
    <n v="6208205.7600000007"/>
    <n v="6208205.7600000007"/>
    <n v="0"/>
    <n v="2197.0894342894558"/>
    <n v="200264.7019354839"/>
    <n v="2196364.56"/>
    <m/>
    <n v="70850.469677419358"/>
    <n v="3228267"/>
    <n v="418257.16"/>
    <n v="2810009.84"/>
    <n v="104137.64516129032"/>
    <n v="783574.2"/>
    <m/>
    <m/>
    <n v="0"/>
    <m/>
    <m/>
    <m/>
    <n v="0"/>
    <n v="70850.469677419358"/>
    <m/>
    <m/>
    <n v="70850.469677419358"/>
    <m/>
    <n v="70850.469677419358"/>
    <n v="0.35378411169155577"/>
    <m/>
    <m/>
    <n v="0"/>
    <n v="55601"/>
    <n v="8.9560498072151513E-3"/>
    <n v="6152604.7600000007"/>
    <n v="100000"/>
    <n v="2.5063763350523998E-2"/>
    <m/>
    <n v="0"/>
    <e v="#DIV/0!"/>
    <m/>
    <m/>
    <m/>
    <m/>
    <n v="0"/>
    <m/>
    <m/>
    <m/>
    <m/>
    <m/>
    <m/>
    <n v="0"/>
    <m/>
  </r>
  <r>
    <s v="VEFA Résidence BERTAUT LLS"/>
    <x v="2"/>
    <x v="2"/>
    <x v="12"/>
    <s v="PRLC 0219"/>
    <s v="TQU"/>
    <s v="MMA"/>
    <x v="7"/>
    <m/>
    <s v="BX 176"/>
    <m/>
    <m/>
    <m/>
    <m/>
    <n v="3010"/>
    <m/>
    <m/>
    <n v="0"/>
    <n v="0"/>
    <n v="0"/>
    <m/>
    <n v="0"/>
    <n v="100.33333333333333"/>
    <m/>
    <n v="99.667774086378742"/>
    <m/>
    <m/>
    <m/>
    <x v="1"/>
    <n v="30"/>
    <n v="30"/>
    <n v="30"/>
    <m/>
    <m/>
    <m/>
    <n v="1475.35"/>
    <n v="1704.4"/>
    <n v="49.178333333333327"/>
    <n v="56.81333333333334"/>
    <m/>
    <m/>
    <m/>
    <m/>
    <m/>
    <m/>
    <m/>
    <m/>
    <m/>
    <m/>
    <m/>
    <m/>
    <m/>
    <m/>
    <n v="3216150"/>
    <n v="2179.9234080048805"/>
    <n v="1886.9690213564891"/>
    <n v="107205"/>
    <d v="2019-08-29T00:00:00"/>
    <m/>
    <d v="2019-11-12T00:00:00"/>
    <m/>
    <m/>
    <m/>
    <m/>
    <n v="0"/>
    <s v="x"/>
    <m/>
    <m/>
    <n v="0"/>
    <m/>
    <m/>
    <m/>
    <m/>
    <m/>
    <m/>
    <m/>
    <m/>
    <m/>
    <m/>
    <m/>
    <m/>
    <m/>
    <s v="0"/>
    <m/>
    <m/>
    <s v="0"/>
    <m/>
    <m/>
    <s v="0"/>
    <m/>
    <m/>
    <s v="0"/>
    <m/>
    <m/>
    <s v="0"/>
    <m/>
    <m/>
    <m/>
    <m/>
    <s v="0"/>
    <m/>
    <x v="67"/>
    <x v="7"/>
    <n v="1475.8333333333333"/>
    <s v="0"/>
    <n v="24"/>
    <n v="24"/>
    <m/>
    <d v="2020-04-29T00:00:00"/>
    <s v="0"/>
    <m/>
    <d v="2020-04-29T00:00:00"/>
    <s v="0"/>
    <m/>
    <d v="2020-04-29T00:00:00"/>
    <s v="0"/>
    <m/>
    <d v="2020-04-29T00:00:00"/>
    <s v="0"/>
    <m/>
    <m/>
    <s v="0"/>
    <m/>
    <d v="2020-04-29T00:00:00"/>
    <s v="0"/>
    <m/>
    <d v="2020-04-29T00:00:00"/>
    <s v="0"/>
    <m/>
    <m/>
    <m/>
    <d v="2023-03-20T00:00:00"/>
    <d v="2023-03-20T00:00:00"/>
    <n v="0"/>
    <n v="35.166666666666664"/>
    <d v="2022-04-29T00:00:00"/>
    <m/>
    <m/>
    <d v="2023-07-22T00:00:00"/>
    <m/>
    <d v="2023-04-20T00:00:00"/>
    <x v="72"/>
    <x v="8"/>
    <n v="0"/>
    <m/>
    <n v="0"/>
    <m/>
    <m/>
    <m/>
    <m/>
    <m/>
    <m/>
    <n v="0"/>
    <m/>
    <m/>
    <m/>
    <s v="présentation ACPC 29/08"/>
    <d v="2022-04-29T00:00:00"/>
    <m/>
    <m/>
    <m/>
    <m/>
    <m/>
    <m/>
    <d v="2024-03-20T00:00:00"/>
    <m/>
    <m/>
    <m/>
    <m/>
    <m/>
    <m/>
    <m/>
    <m/>
    <m/>
    <m/>
    <m/>
    <m/>
    <m/>
    <m/>
    <m/>
    <n v="3363092.62"/>
    <n v="3363092.62"/>
    <n v="3363092.62"/>
    <n v="750000"/>
    <n v="1973.182715325041"/>
    <n v="112103.08733333334"/>
    <n v="886914"/>
    <m/>
    <n v="29563.8"/>
    <n v="1726178.62"/>
    <n v="261569.62"/>
    <n v="1464609"/>
    <n v="57539.287333333334"/>
    <m/>
    <n v="750000"/>
    <m/>
    <n v="0.22300902316511281"/>
    <m/>
    <m/>
    <m/>
    <n v="25000"/>
    <n v="54563.8"/>
    <m/>
    <m/>
    <n v="54563.8"/>
    <m/>
    <n v="54563.8"/>
    <n v="0.48672878952706333"/>
    <m/>
    <m/>
    <m/>
    <m/>
    <n v="0"/>
    <n v="3363092.62"/>
    <n v="0"/>
    <n v="0"/>
    <m/>
    <n v="750000"/>
    <n v="0"/>
    <m/>
    <m/>
    <m/>
    <m/>
    <n v="0"/>
    <m/>
    <m/>
    <m/>
    <m/>
    <m/>
    <m/>
    <n v="0"/>
    <m/>
  </r>
  <r>
    <s v="VEFA Résidence BERTAUT PLS"/>
    <x v="2"/>
    <x v="2"/>
    <x v="12"/>
    <s v="PRLC 0219"/>
    <m/>
    <m/>
    <x v="4"/>
    <m/>
    <s v="BX 176"/>
    <m/>
    <m/>
    <m/>
    <m/>
    <n v="3010"/>
    <m/>
    <m/>
    <n v="0"/>
    <n v="0"/>
    <n v="0"/>
    <m/>
    <n v="0"/>
    <n v="32.365591397849464"/>
    <m/>
    <n v="308.97009966777409"/>
    <m/>
    <m/>
    <m/>
    <x v="3"/>
    <n v="93"/>
    <n v="93"/>
    <m/>
    <m/>
    <n v="93"/>
    <m/>
    <n v="6211.09"/>
    <n v="7525.98"/>
    <n v="66.785913978494619"/>
    <n v="80.924516129032256"/>
    <m/>
    <m/>
    <m/>
    <m/>
    <m/>
    <m/>
    <m/>
    <m/>
    <m/>
    <m/>
    <m/>
    <m/>
    <m/>
    <m/>
    <n v="15723400"/>
    <n v="2531.5041321249569"/>
    <n v="2089.2162881113159"/>
    <n v="169068.81720430107"/>
    <d v="2019-08-29T00:00:00"/>
    <m/>
    <d v="2019-11-12T00:00:00"/>
    <m/>
    <m/>
    <m/>
    <m/>
    <n v="0"/>
    <s v="x"/>
    <m/>
    <m/>
    <n v="0"/>
    <m/>
    <m/>
    <m/>
    <m/>
    <m/>
    <m/>
    <m/>
    <m/>
    <m/>
    <m/>
    <m/>
    <m/>
    <m/>
    <s v="0"/>
    <m/>
    <m/>
    <s v="0"/>
    <m/>
    <m/>
    <s v="0"/>
    <m/>
    <m/>
    <s v="0"/>
    <m/>
    <m/>
    <s v="0"/>
    <m/>
    <m/>
    <m/>
    <m/>
    <s v="0"/>
    <m/>
    <x v="67"/>
    <x v="7"/>
    <n v="1475.8333333333333"/>
    <s v="0"/>
    <n v="24"/>
    <n v="24"/>
    <m/>
    <d v="2020-04-29T00:00:00"/>
    <s v="0"/>
    <m/>
    <d v="2020-04-29T00:00:00"/>
    <s v="0"/>
    <m/>
    <d v="2020-04-29T00:00:00"/>
    <s v="0"/>
    <m/>
    <d v="2020-04-29T00:00:00"/>
    <s v="0"/>
    <m/>
    <m/>
    <s v="0"/>
    <m/>
    <d v="2020-04-29T00:00:00"/>
    <s v="0"/>
    <m/>
    <d v="2020-04-29T00:00:00"/>
    <s v="0"/>
    <m/>
    <m/>
    <m/>
    <d v="2023-03-20T00:00:00"/>
    <d v="2023-03-20T00:00:00"/>
    <n v="0"/>
    <n v="35.166666666666664"/>
    <d v="2022-04-29T00:00:00"/>
    <m/>
    <m/>
    <d v="2023-07-22T00:00:00"/>
    <m/>
    <d v="2023-04-20T00:00:00"/>
    <x v="72"/>
    <x v="8"/>
    <n v="0"/>
    <m/>
    <n v="0"/>
    <m/>
    <m/>
    <m/>
    <m/>
    <m/>
    <m/>
    <n v="0"/>
    <m/>
    <m/>
    <m/>
    <s v="présentation ACPC 29/08"/>
    <d v="2022-04-29T00:00:00"/>
    <m/>
    <m/>
    <m/>
    <m/>
    <m/>
    <m/>
    <d v="2024-03-20T00:00:00"/>
    <m/>
    <m/>
    <m/>
    <m/>
    <m/>
    <m/>
    <m/>
    <m/>
    <m/>
    <m/>
    <m/>
    <m/>
    <m/>
    <m/>
    <m/>
    <n v="16409046.4"/>
    <n v="16409046.4"/>
    <n v="16409046.4"/>
    <n v="0"/>
    <n v="2180.3202240771302"/>
    <n v="176441.35913978494"/>
    <n v="5801913"/>
    <m/>
    <n v="62386.161290322583"/>
    <n v="8532704.4000000004"/>
    <n v="1432491.4"/>
    <n v="7100213"/>
    <n v="91749.509677419352"/>
    <n v="2074429"/>
    <m/>
    <m/>
    <n v="0"/>
    <m/>
    <m/>
    <m/>
    <n v="0"/>
    <n v="62386.161290322583"/>
    <m/>
    <m/>
    <n v="62386.161290322583"/>
    <m/>
    <n v="62386.161290322583"/>
    <n v="0.35358014466946719"/>
    <m/>
    <m/>
    <m/>
    <m/>
    <n v="0"/>
    <n v="16409046.4"/>
    <n v="0"/>
    <n v="0"/>
    <m/>
    <n v="0"/>
    <e v="#DIV/0!"/>
    <m/>
    <m/>
    <m/>
    <m/>
    <n v="0"/>
    <m/>
    <m/>
    <m/>
    <m/>
    <m/>
    <m/>
    <n v="0"/>
    <m/>
  </r>
  <r>
    <s v="VEFA JARDINS PARTAGES T2 LLS"/>
    <x v="2"/>
    <x v="2"/>
    <x v="14"/>
    <s v="PRLC 0222"/>
    <m/>
    <m/>
    <x v="4"/>
    <m/>
    <s v="EN 563"/>
    <m/>
    <m/>
    <m/>
    <m/>
    <n v="33407"/>
    <m/>
    <m/>
    <n v="0"/>
    <n v="0"/>
    <n v="0"/>
    <n v="0"/>
    <n v="0"/>
    <n v="513.95384615384614"/>
    <m/>
    <n v="19.457000029933845"/>
    <m/>
    <m/>
    <m/>
    <x v="1"/>
    <n v="65"/>
    <n v="65"/>
    <n v="65"/>
    <m/>
    <m/>
    <m/>
    <n v="5076.42"/>
    <n v="5900.6"/>
    <n v="78.098769230769236"/>
    <n v="90.778461538461542"/>
    <m/>
    <m/>
    <m/>
    <m/>
    <m/>
    <m/>
    <m/>
    <m/>
    <m/>
    <m/>
    <m/>
    <m/>
    <m/>
    <m/>
    <n v="12005233.51"/>
    <n v="2364.9015467593304"/>
    <n v="2034.578434396502"/>
    <n v="184695.90015384616"/>
    <m/>
    <m/>
    <m/>
    <m/>
    <m/>
    <m/>
    <m/>
    <n v="0"/>
    <s v="x"/>
    <m/>
    <m/>
    <n v="0"/>
    <m/>
    <m/>
    <m/>
    <m/>
    <d v="1901-12-31T00:00:00"/>
    <m/>
    <s v="oui"/>
    <n v="-1486.4"/>
    <n v="0"/>
    <n v="0"/>
    <m/>
    <m/>
    <m/>
    <s v="0"/>
    <m/>
    <m/>
    <s v="0"/>
    <m/>
    <m/>
    <s v="0"/>
    <m/>
    <m/>
    <s v="0"/>
    <m/>
    <m/>
    <s v="0"/>
    <m/>
    <m/>
    <m/>
    <m/>
    <s v="0"/>
    <m/>
    <x v="71"/>
    <x v="7"/>
    <n v="1491.4333333333334"/>
    <s v="0"/>
    <n v="18"/>
    <n v="18"/>
    <m/>
    <d v="2020-04-29T00:00:00"/>
    <s v="0"/>
    <m/>
    <d v="2020-04-29T00:00:00"/>
    <s v="0"/>
    <m/>
    <d v="2020-04-29T00:00:00"/>
    <s v="0"/>
    <d v="2019-03-10T00:00:00"/>
    <d v="2020-04-29T00:00:00"/>
    <n v="416"/>
    <m/>
    <m/>
    <s v="0"/>
    <m/>
    <d v="2020-04-29T00:00:00"/>
    <s v="0"/>
    <d v="2019-05-26T00:00:00"/>
    <d v="2020-04-29T00:00:00"/>
    <n v="339"/>
    <m/>
    <m/>
    <m/>
    <d v="2024-01-01T00:00:00"/>
    <d v="2024-01-01T00:00:00"/>
    <n v="0"/>
    <n v="44.733333333333334"/>
    <d v="2022-04-29T00:00:00"/>
    <m/>
    <m/>
    <d v="2024-05-03T00:00:00"/>
    <m/>
    <d v="2024-02-01T00:00:00"/>
    <x v="73"/>
    <x v="8"/>
    <n v="0"/>
    <m/>
    <n v="0"/>
    <m/>
    <m/>
    <m/>
    <m/>
    <m/>
    <m/>
    <n v="0"/>
    <m/>
    <m/>
    <m/>
    <m/>
    <d v="2022-04-29T00:00:00"/>
    <m/>
    <m/>
    <m/>
    <m/>
    <m/>
    <m/>
    <d v="2025-01-01T00:00:00"/>
    <m/>
    <m/>
    <m/>
    <m/>
    <m/>
    <m/>
    <m/>
    <m/>
    <m/>
    <m/>
    <m/>
    <m/>
    <m/>
    <m/>
    <m/>
    <n v="12530536"/>
    <n v="12530536"/>
    <n v="12530536"/>
    <n v="975000"/>
    <n v="2123.60370131851"/>
    <n v="192777.47692307693"/>
    <n v="4133852"/>
    <m/>
    <n v="63597.723076923074"/>
    <n v="7421684"/>
    <n v="1328883"/>
    <n v="6092801"/>
    <n v="114179.75384615385"/>
    <m/>
    <n v="975000"/>
    <m/>
    <n v="7.7809919703355074E-2"/>
    <m/>
    <m/>
    <m/>
    <n v="15000"/>
    <n v="78597.723076923081"/>
    <m/>
    <m/>
    <e v="#REF!"/>
    <m/>
    <n v="78597.723076923081"/>
    <n v="0.40771216809879479"/>
    <m/>
    <m/>
    <m/>
    <m/>
    <n v="0"/>
    <n v="12530536"/>
    <n v="2240930.43219076"/>
    <n v="0.17883755588673622"/>
    <m/>
    <n v="975000"/>
    <n v="0"/>
    <m/>
    <m/>
    <m/>
    <m/>
    <n v="0"/>
    <m/>
    <m/>
    <m/>
    <m/>
    <m/>
    <m/>
    <n v="0"/>
    <m/>
  </r>
  <r>
    <s v="VEFA JARDINS PARTAGES T2 LLTS"/>
    <x v="2"/>
    <x v="2"/>
    <x v="14"/>
    <s v="PRLC 0222"/>
    <m/>
    <m/>
    <x v="4"/>
    <m/>
    <s v="EN 563"/>
    <m/>
    <m/>
    <m/>
    <m/>
    <n v="33407"/>
    <m/>
    <m/>
    <n v="0"/>
    <n v="0"/>
    <n v="0"/>
    <n v="0"/>
    <n v="0"/>
    <n v="470.52112676056339"/>
    <m/>
    <n v="21.253030801927739"/>
    <m/>
    <m/>
    <m/>
    <x v="0"/>
    <n v="71"/>
    <n v="71"/>
    <m/>
    <n v="71"/>
    <m/>
    <m/>
    <n v="3275.65"/>
    <n v="3704.78"/>
    <n v="46.13591549295775"/>
    <n v="52.18"/>
    <m/>
    <m/>
    <m/>
    <m/>
    <m/>
    <m/>
    <m/>
    <m/>
    <m/>
    <m/>
    <m/>
    <m/>
    <m/>
    <m/>
    <n v="7544213.4900000002"/>
    <n v="2303.1195304748676"/>
    <n v="2036.3458801872175"/>
    <n v="106256.52802816902"/>
    <m/>
    <m/>
    <m/>
    <m/>
    <m/>
    <m/>
    <m/>
    <n v="0"/>
    <s v="x"/>
    <m/>
    <m/>
    <n v="0"/>
    <m/>
    <m/>
    <m/>
    <m/>
    <d v="1901-12-31T00:00:00"/>
    <m/>
    <s v="oui"/>
    <n v="-1486.4"/>
    <n v="0"/>
    <n v="0"/>
    <m/>
    <m/>
    <m/>
    <s v="0"/>
    <m/>
    <m/>
    <s v="0"/>
    <m/>
    <m/>
    <s v="0"/>
    <m/>
    <m/>
    <s v="0"/>
    <m/>
    <m/>
    <s v="0"/>
    <m/>
    <m/>
    <m/>
    <m/>
    <s v="0"/>
    <m/>
    <x v="71"/>
    <x v="7"/>
    <n v="1491.4333333333334"/>
    <s v="0"/>
    <n v="18"/>
    <n v="18"/>
    <m/>
    <d v="2020-04-29T00:00:00"/>
    <s v="0"/>
    <m/>
    <d v="2020-04-29T00:00:00"/>
    <s v="0"/>
    <m/>
    <d v="2020-04-29T00:00:00"/>
    <s v="0"/>
    <d v="2019-03-10T00:00:00"/>
    <d v="2020-04-29T00:00:00"/>
    <n v="416"/>
    <m/>
    <m/>
    <s v="0"/>
    <m/>
    <d v="2020-04-29T00:00:00"/>
    <s v="0"/>
    <d v="2019-05-26T00:00:00"/>
    <d v="2020-04-29T00:00:00"/>
    <n v="339"/>
    <m/>
    <m/>
    <m/>
    <d v="2024-01-01T00:00:00"/>
    <d v="2024-01-01T00:00:00"/>
    <n v="0"/>
    <n v="44.733333333333334"/>
    <d v="2022-04-29T00:00:00"/>
    <m/>
    <m/>
    <d v="2024-05-03T00:00:00"/>
    <m/>
    <d v="2024-02-01T00:00:00"/>
    <x v="73"/>
    <x v="8"/>
    <n v="0"/>
    <m/>
    <n v="0"/>
    <m/>
    <m/>
    <m/>
    <m/>
    <m/>
    <m/>
    <n v="0"/>
    <m/>
    <m/>
    <m/>
    <m/>
    <d v="2022-04-29T00:00:00"/>
    <m/>
    <m/>
    <m/>
    <m/>
    <m/>
    <m/>
    <d v="2025-01-01T00:00:00"/>
    <m/>
    <m/>
    <m/>
    <m/>
    <m/>
    <m/>
    <m/>
    <m/>
    <m/>
    <m/>
    <m/>
    <m/>
    <m/>
    <m/>
    <m/>
    <n v="7893783"/>
    <n v="7893783"/>
    <n v="7893783"/>
    <n v="1847200"/>
    <n v="2130.7022279325629"/>
    <n v="111180.04225352113"/>
    <n v="2182175"/>
    <m/>
    <n v="30734.859154929578"/>
    <n v="3864408"/>
    <n v="818268"/>
    <n v="3046140"/>
    <n v="54428.281690140844"/>
    <m/>
    <n v="1847200"/>
    <m/>
    <n v="0.23400693938508318"/>
    <m/>
    <m/>
    <m/>
    <n v="26016.901408450703"/>
    <n v="56751.760563380281"/>
    <m/>
    <m/>
    <e v="#REF!"/>
    <m/>
    <n v="56751.760563380281"/>
    <n v="0.51044917246901766"/>
    <m/>
    <m/>
    <m/>
    <m/>
    <n v="0"/>
    <n v="7893783"/>
    <n v="1411704.8584202682"/>
    <n v="0.17883755588673619"/>
    <m/>
    <n v="1847200"/>
    <n v="0"/>
    <m/>
    <m/>
    <m/>
    <m/>
    <n v="0"/>
    <m/>
    <m/>
    <m/>
    <m/>
    <m/>
    <m/>
    <n v="0"/>
    <m/>
  </r>
  <r>
    <s v="VEFA JARDINS PARTAGES T2 PLS"/>
    <x v="2"/>
    <x v="2"/>
    <x v="14"/>
    <s v="PRLC 0222"/>
    <m/>
    <m/>
    <x v="4"/>
    <m/>
    <s v="EN 563"/>
    <m/>
    <m/>
    <m/>
    <m/>
    <n v="33407"/>
    <m/>
    <m/>
    <n v="0"/>
    <n v="0"/>
    <n v="0"/>
    <n v="0"/>
    <n v="0"/>
    <n v="477.24285714285713"/>
    <m/>
    <n v="20.953692339928757"/>
    <m/>
    <m/>
    <m/>
    <x v="3"/>
    <n v="70"/>
    <n v="70"/>
    <m/>
    <m/>
    <n v="70"/>
    <m/>
    <n v="5235.24"/>
    <n v="6088.24"/>
    <n v="74.789142857142849"/>
    <n v="86.974857142857147"/>
    <m/>
    <m/>
    <m/>
    <m/>
    <m/>
    <m/>
    <m/>
    <m/>
    <m/>
    <m/>
    <m/>
    <m/>
    <m/>
    <m/>
    <n v="13238405.42"/>
    <n v="2528.7103208257886"/>
    <n v="2174.4223979343783"/>
    <n v="189120.07742857141"/>
    <m/>
    <m/>
    <m/>
    <m/>
    <m/>
    <m/>
    <m/>
    <n v="0"/>
    <s v="x"/>
    <m/>
    <m/>
    <n v="0"/>
    <m/>
    <m/>
    <m/>
    <m/>
    <d v="1901-12-31T00:00:00"/>
    <m/>
    <s v="oui"/>
    <n v="-1486.4"/>
    <n v="0"/>
    <n v="0"/>
    <m/>
    <m/>
    <m/>
    <s v="0"/>
    <m/>
    <m/>
    <s v="0"/>
    <m/>
    <m/>
    <s v="0"/>
    <m/>
    <m/>
    <s v="0"/>
    <m/>
    <m/>
    <s v="0"/>
    <m/>
    <m/>
    <m/>
    <m/>
    <s v="0"/>
    <m/>
    <x v="71"/>
    <x v="7"/>
    <n v="1491.4333333333334"/>
    <s v="0"/>
    <n v="18"/>
    <n v="18"/>
    <m/>
    <d v="2020-04-29T00:00:00"/>
    <s v="0"/>
    <m/>
    <d v="2020-04-29T00:00:00"/>
    <s v="0"/>
    <m/>
    <d v="2020-04-29T00:00:00"/>
    <s v="0"/>
    <d v="2019-03-10T00:00:00"/>
    <d v="2020-04-29T00:00:00"/>
    <n v="416"/>
    <m/>
    <m/>
    <s v="0"/>
    <m/>
    <d v="2020-04-29T00:00:00"/>
    <s v="0"/>
    <d v="2019-05-26T00:00:00"/>
    <d v="2020-04-29T00:00:00"/>
    <n v="339"/>
    <m/>
    <m/>
    <m/>
    <d v="2024-01-01T00:00:00"/>
    <d v="2024-01-01T00:00:00"/>
    <n v="0"/>
    <n v="44.733333333333334"/>
    <d v="2022-04-29T00:00:00"/>
    <m/>
    <m/>
    <d v="2024-05-03T00:00:00"/>
    <m/>
    <d v="2024-02-01T00:00:00"/>
    <x v="73"/>
    <x v="8"/>
    <n v="0"/>
    <m/>
    <n v="0"/>
    <m/>
    <m/>
    <m/>
    <m/>
    <m/>
    <m/>
    <n v="0"/>
    <m/>
    <m/>
    <m/>
    <m/>
    <d v="2022-04-29T00:00:00"/>
    <m/>
    <m/>
    <m/>
    <m/>
    <m/>
    <m/>
    <d v="2025-01-01T00:00:00"/>
    <m/>
    <m/>
    <m/>
    <m/>
    <m/>
    <m/>
    <m/>
    <m/>
    <m/>
    <m/>
    <m/>
    <m/>
    <m/>
    <m/>
    <m/>
    <n v="13817428.800000001"/>
    <n v="13817428.800000001"/>
    <n v="13817428.800000001"/>
    <n v="0"/>
    <n v="2269.5276138916997"/>
    <n v="197391.84"/>
    <n v="4921943.9800000004"/>
    <m/>
    <n v="70313.485428571439"/>
    <n v="7185063"/>
    <n v="1497278"/>
    <n v="5687785"/>
    <n v="102643.75714285714"/>
    <n v="1710421.82"/>
    <n v="0"/>
    <m/>
    <n v="0"/>
    <m/>
    <m/>
    <m/>
    <n v="0"/>
    <n v="70313.485428571439"/>
    <m/>
    <m/>
    <e v="#REF!"/>
    <m/>
    <n v="70313.485428571439"/>
    <n v="0.35621272606087179"/>
    <m/>
    <m/>
    <m/>
    <m/>
    <n v="0"/>
    <n v="13817428.800000001"/>
    <n v="2471075.1952309986"/>
    <n v="0.17883755588673622"/>
    <m/>
    <n v="0"/>
    <e v="#DIV/0!"/>
    <m/>
    <m/>
    <m/>
    <m/>
    <n v="0"/>
    <m/>
    <m/>
    <m/>
    <m/>
    <m/>
    <m/>
    <n v="0"/>
    <m/>
  </r>
  <r>
    <s v="VEFA MAZEAU ROUSSEL T2 LLS"/>
    <x v="2"/>
    <x v="2"/>
    <x v="14"/>
    <s v="PRLC 0217"/>
    <s v="TQU"/>
    <m/>
    <x v="5"/>
    <m/>
    <m/>
    <m/>
    <m/>
    <m/>
    <m/>
    <m/>
    <m/>
    <m/>
    <n v="0"/>
    <e v="#DIV/0!"/>
    <e v="#DIV/0!"/>
    <n v="0"/>
    <n v="0"/>
    <n v="0"/>
    <m/>
    <e v="#DIV/0!"/>
    <m/>
    <m/>
    <n v="0.1"/>
    <x v="1"/>
    <n v="31"/>
    <n v="31"/>
    <n v="31"/>
    <m/>
    <m/>
    <m/>
    <n v="2253.29"/>
    <n v="2728.47"/>
    <n v="72.686774193548388"/>
    <n v="88.015161290322581"/>
    <m/>
    <m/>
    <m/>
    <m/>
    <m/>
    <m/>
    <m/>
    <m/>
    <m/>
    <m/>
    <m/>
    <m/>
    <m/>
    <m/>
    <n v="5261432.1499999994"/>
    <n v="2335"/>
    <n v="1928.3452447708789"/>
    <n v="169723.61774193548"/>
    <m/>
    <m/>
    <m/>
    <m/>
    <m/>
    <m/>
    <m/>
    <m/>
    <s v="x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"/>
    <m/>
    <x v="72"/>
    <x v="7"/>
    <n v="1491.4666666666667"/>
    <s v="0"/>
    <n v="19"/>
    <n v="19"/>
    <m/>
    <d v="2020-04-29T00:00:00"/>
    <s v="0"/>
    <m/>
    <d v="2020-04-29T00:00:00"/>
    <s v="0"/>
    <m/>
    <d v="2020-04-29T00:00:00"/>
    <s v="0"/>
    <d v="2019-03-11T00:00:00"/>
    <d v="2020-04-29T00:00:00"/>
    <n v="415"/>
    <m/>
    <m/>
    <s v="0"/>
    <m/>
    <d v="2020-04-29T00:00:00"/>
    <s v="0"/>
    <d v="2019-05-27T00:00:00"/>
    <d v="2020-04-29T00:00:00"/>
    <n v="338"/>
    <m/>
    <m/>
    <m/>
    <d v="2024-02-02T00:00:00"/>
    <d v="2024-02-02T00:00:00"/>
    <n v="0"/>
    <n v="45.8"/>
    <d v="2022-04-29T00:00:00"/>
    <m/>
    <m/>
    <d v="2024-06-04T00:00:00"/>
    <m/>
    <d v="2024-03-02T00:00:00"/>
    <x v="74"/>
    <x v="8"/>
    <n v="0"/>
    <m/>
    <n v="0"/>
    <m/>
    <m/>
    <m/>
    <m/>
    <m/>
    <m/>
    <n v="0"/>
    <m/>
    <m/>
    <m/>
    <m/>
    <d v="2022-04-29T00:00:00"/>
    <m/>
    <m/>
    <m/>
    <m/>
    <m/>
    <m/>
    <d v="2025-02-02T00:00:00"/>
    <m/>
    <m/>
    <m/>
    <m/>
    <m/>
    <m/>
    <m/>
    <m/>
    <m/>
    <m/>
    <m/>
    <m/>
    <m/>
    <m/>
    <m/>
    <n v="5496019"/>
    <n v="5496019"/>
    <n v="5496019"/>
    <n v="620000"/>
    <n v="2014.3226790105812"/>
    <n v="177290.93548387097"/>
    <n v="1735047"/>
    <m/>
    <n v="55969.258064516129"/>
    <n v="3140972"/>
    <n v="549145"/>
    <n v="2591827"/>
    <n v="101321.67741935483"/>
    <m/>
    <n v="620000"/>
    <m/>
    <n v="0.11280892587889525"/>
    <m/>
    <m/>
    <m/>
    <m/>
    <m/>
    <m/>
    <m/>
    <m/>
    <m/>
    <m/>
    <m/>
    <m/>
    <m/>
    <m/>
    <m/>
    <m/>
    <m/>
    <m/>
    <m/>
    <m/>
    <m/>
    <m/>
    <m/>
    <m/>
    <m/>
    <m/>
    <n v="0"/>
    <m/>
    <m/>
    <m/>
    <m/>
    <m/>
    <m/>
    <n v="0"/>
    <m/>
  </r>
  <r>
    <s v="VEFA MAZEAU ROUSSEL T2 LLTS"/>
    <x v="2"/>
    <x v="2"/>
    <x v="14"/>
    <s v="PRLC 0217"/>
    <m/>
    <m/>
    <x v="5"/>
    <m/>
    <m/>
    <m/>
    <m/>
    <m/>
    <m/>
    <m/>
    <m/>
    <m/>
    <n v="0"/>
    <e v="#DIV/0!"/>
    <e v="#DIV/0!"/>
    <n v="0"/>
    <n v="0"/>
    <n v="0"/>
    <m/>
    <e v="#DIV/0!"/>
    <m/>
    <m/>
    <n v="0.1"/>
    <x v="0"/>
    <n v="18"/>
    <n v="18"/>
    <m/>
    <n v="18"/>
    <m/>
    <m/>
    <n v="1013.32"/>
    <n v="1186.42"/>
    <n v="56.295555555555559"/>
    <n v="65.912222222222226"/>
    <m/>
    <m/>
    <m/>
    <m/>
    <m/>
    <m/>
    <m/>
    <m/>
    <m/>
    <m/>
    <m/>
    <m/>
    <m/>
    <m/>
    <n v="2229304"/>
    <n v="2200"/>
    <n v="1879.0175485915611"/>
    <n v="123850.22222222222"/>
    <m/>
    <m/>
    <m/>
    <m/>
    <m/>
    <m/>
    <m/>
    <m/>
    <s v="x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"/>
    <m/>
    <x v="72"/>
    <x v="7"/>
    <n v="1491.4666666666667"/>
    <s v="0"/>
    <n v="19"/>
    <n v="19"/>
    <m/>
    <d v="2020-04-29T00:00:00"/>
    <s v="0"/>
    <m/>
    <d v="2020-04-29T00:00:00"/>
    <s v="0"/>
    <m/>
    <d v="2020-04-29T00:00:00"/>
    <s v="0"/>
    <d v="2019-03-11T00:00:00"/>
    <d v="2020-04-29T00:00:00"/>
    <n v="415"/>
    <m/>
    <m/>
    <s v="0"/>
    <m/>
    <d v="2020-04-29T00:00:00"/>
    <s v="0"/>
    <d v="2019-05-27T00:00:00"/>
    <d v="2020-04-29T00:00:00"/>
    <n v="338"/>
    <m/>
    <m/>
    <m/>
    <d v="2024-02-02T00:00:00"/>
    <d v="2024-02-02T00:00:00"/>
    <n v="0"/>
    <n v="45.8"/>
    <d v="2022-04-29T00:00:00"/>
    <m/>
    <m/>
    <d v="2024-06-04T00:00:00"/>
    <m/>
    <d v="2024-03-02T00:00:00"/>
    <x v="74"/>
    <x v="8"/>
    <n v="0"/>
    <m/>
    <n v="0"/>
    <m/>
    <m/>
    <m/>
    <m/>
    <m/>
    <m/>
    <n v="0"/>
    <m/>
    <m/>
    <m/>
    <m/>
    <d v="2022-04-29T00:00:00"/>
    <m/>
    <m/>
    <m/>
    <m/>
    <m/>
    <m/>
    <d v="2025-02-02T00:00:00"/>
    <m/>
    <m/>
    <m/>
    <m/>
    <m/>
    <m/>
    <m/>
    <m/>
    <m/>
    <m/>
    <m/>
    <m/>
    <m/>
    <m/>
    <m/>
    <n v="2332416.52"/>
    <n v="2332416.52"/>
    <n v="2332416.52"/>
    <n v="450000"/>
    <n v="1965.9281873198361"/>
    <n v="129578.69555555556"/>
    <n v="664193.96"/>
    <m/>
    <n v="36899.664444444439"/>
    <n v="1218222.56"/>
    <n v="157815.60999999999"/>
    <n v="1060406.95"/>
    <n v="67679.031111111108"/>
    <m/>
    <n v="450000"/>
    <m/>
    <n v="0.1929329500718851"/>
    <m/>
    <m/>
    <m/>
    <m/>
    <m/>
    <m/>
    <m/>
    <m/>
    <m/>
    <m/>
    <m/>
    <m/>
    <m/>
    <m/>
    <m/>
    <m/>
    <m/>
    <m/>
    <m/>
    <m/>
    <m/>
    <m/>
    <m/>
    <m/>
    <m/>
    <m/>
    <n v="0"/>
    <m/>
    <m/>
    <m/>
    <m/>
    <m/>
    <m/>
    <n v="0"/>
    <m/>
  </r>
  <r>
    <s v="VEFA RPA ALBIUS"/>
    <x v="13"/>
    <x v="1"/>
    <x v="9"/>
    <m/>
    <m/>
    <m/>
    <x v="4"/>
    <m/>
    <s v="BM 7 / 8"/>
    <m/>
    <m/>
    <m/>
    <m/>
    <n v="1245"/>
    <n v="747000"/>
    <n v="747000"/>
    <n v="16600"/>
    <n v="600"/>
    <n v="600"/>
    <n v="184.42167633625479"/>
    <n v="16600"/>
    <n v="27.666666666666668"/>
    <m/>
    <n v="361.4457831325301"/>
    <s v="UA"/>
    <n v="10"/>
    <n v="0"/>
    <x v="3"/>
    <n v="45"/>
    <n v="45"/>
    <m/>
    <m/>
    <n v="45"/>
    <m/>
    <n v="3488"/>
    <n v="4050.5"/>
    <n v="77.511111111111106"/>
    <n v="90.011111111111106"/>
    <m/>
    <m/>
    <m/>
    <m/>
    <m/>
    <m/>
    <m/>
    <m/>
    <m/>
    <s v="SO"/>
    <s v="SO"/>
    <m/>
    <s v="collectif"/>
    <s v="oui"/>
    <n v="8405000"/>
    <n v="2409.690366972477"/>
    <n v="2075.0524626589308"/>
    <n v="186777.77777777778"/>
    <m/>
    <m/>
    <m/>
    <m/>
    <m/>
    <m/>
    <m/>
    <n v="0"/>
    <s v="x"/>
    <m/>
    <m/>
    <n v="0"/>
    <m/>
    <m/>
    <m/>
    <m/>
    <m/>
    <m/>
    <m/>
    <m/>
    <m/>
    <m/>
    <m/>
    <m/>
    <m/>
    <s v="0"/>
    <m/>
    <m/>
    <s v="0"/>
    <m/>
    <m/>
    <s v="0"/>
    <m/>
    <m/>
    <s v="0"/>
    <m/>
    <m/>
    <s v="0"/>
    <m/>
    <m/>
    <m/>
    <m/>
    <s v="0"/>
    <m/>
    <x v="73"/>
    <x v="7"/>
    <n v="1491.5"/>
    <s v="0"/>
    <n v="20"/>
    <n v="20"/>
    <m/>
    <d v="2020-04-29T00:00:00"/>
    <s v="0"/>
    <m/>
    <d v="2020-04-29T00:00:00"/>
    <s v="0"/>
    <m/>
    <d v="2020-04-29T00:00:00"/>
    <s v="0"/>
    <d v="2019-03-12T00:00:00"/>
    <d v="2020-04-29T00:00:00"/>
    <n v="414"/>
    <m/>
    <m/>
    <s v="0"/>
    <m/>
    <d v="2020-04-29T00:00:00"/>
    <s v="0"/>
    <d v="2019-05-28T00:00:00"/>
    <d v="2020-04-29T00:00:00"/>
    <n v="337"/>
    <m/>
    <m/>
    <m/>
    <d v="2024-03-03T00:00:00"/>
    <d v="2024-03-03T00:00:00"/>
    <n v="0"/>
    <n v="46.8"/>
    <d v="2022-04-29T00:00:00"/>
    <m/>
    <m/>
    <d v="2024-07-05T00:00:00"/>
    <m/>
    <d v="2024-04-03T00:00:00"/>
    <x v="75"/>
    <x v="8"/>
    <n v="0"/>
    <m/>
    <n v="0"/>
    <m/>
    <m/>
    <m/>
    <m/>
    <m/>
    <m/>
    <e v="#DIV/0!"/>
    <m/>
    <m/>
    <m/>
    <m/>
    <d v="2022-04-29T00:00:00"/>
    <m/>
    <m/>
    <m/>
    <m/>
    <m/>
    <m/>
    <d v="2025-03-03T00:00:00"/>
    <m/>
    <m/>
    <m/>
    <m/>
    <m/>
    <m/>
    <m/>
    <m/>
    <m/>
    <m/>
    <m/>
    <m/>
    <m/>
    <m/>
    <m/>
    <n v="0"/>
    <n v="0"/>
    <n v="0"/>
    <n v="0"/>
    <n v="0"/>
    <n v="0"/>
    <m/>
    <m/>
    <n v="0"/>
    <n v="0"/>
    <m/>
    <m/>
    <n v="0"/>
    <m/>
    <m/>
    <m/>
    <e v="#DIV/0!"/>
    <m/>
    <m/>
    <m/>
    <m/>
    <m/>
    <m/>
    <m/>
    <m/>
    <m/>
    <m/>
    <m/>
    <m/>
    <m/>
    <m/>
    <m/>
    <e v="#DIV/0!"/>
    <n v="0"/>
    <n v="0"/>
    <e v="#DIV/0!"/>
    <m/>
    <n v="0"/>
    <e v="#DIV/0!"/>
    <m/>
    <m/>
    <m/>
    <m/>
    <n v="0"/>
    <m/>
    <m/>
    <m/>
    <m/>
    <m/>
    <m/>
    <n v="0"/>
    <m/>
  </r>
  <r>
    <s v="Lacaussade 1"/>
    <x v="4"/>
    <x v="2"/>
    <x v="14"/>
    <m/>
    <s v="MHO"/>
    <m/>
    <x v="5"/>
    <m/>
    <m/>
    <m/>
    <m/>
    <m/>
    <m/>
    <m/>
    <m/>
    <m/>
    <m/>
    <m/>
    <m/>
    <m/>
    <m/>
    <m/>
    <m/>
    <m/>
    <m/>
    <m/>
    <m/>
    <x v="2"/>
    <n v="36"/>
    <m/>
    <m/>
    <m/>
    <m/>
    <n v="36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4"/>
    <x v="7"/>
    <n v="1491.5333333333333"/>
    <s v="0"/>
    <n v="21"/>
    <n v="21"/>
    <m/>
    <d v="2020-04-29T00:00:00"/>
    <s v="0"/>
    <m/>
    <d v="2020-04-29T00:00:00"/>
    <s v="0"/>
    <m/>
    <d v="2020-04-29T00:00:00"/>
    <s v="0"/>
    <d v="2019-03-13T00:00:00"/>
    <d v="2020-04-29T00:00:00"/>
    <n v="413"/>
    <m/>
    <m/>
    <s v="0"/>
    <m/>
    <d v="2020-04-29T00:00:00"/>
    <s v="0"/>
    <d v="2019-05-29T00:00:00"/>
    <d v="2020-04-29T00:00:00"/>
    <n v="336"/>
    <m/>
    <m/>
    <m/>
    <d v="2024-04-04T00:00:00"/>
    <d v="2024-04-04T00:00:00"/>
    <n v="0"/>
    <n v="47.866666666666667"/>
    <d v="2022-04-29T00:00:00"/>
    <m/>
    <m/>
    <d v="2024-08-06T00:00:00"/>
    <m/>
    <d v="2024-05-04T00:00:00"/>
    <x v="76"/>
    <x v="8"/>
    <n v="0"/>
    <m/>
    <n v="0"/>
    <m/>
    <m/>
    <m/>
    <m/>
    <m/>
    <m/>
    <e v="#DIV/0!"/>
    <m/>
    <m/>
    <m/>
    <m/>
    <d v="2022-04-29T00:00:00"/>
    <m/>
    <m/>
    <m/>
    <m/>
    <m/>
    <m/>
    <d v="2025-04-04T00:00:00"/>
    <m/>
    <m/>
    <m/>
    <m/>
    <m/>
    <m/>
    <m/>
    <m/>
    <m/>
    <m/>
    <m/>
    <m/>
    <m/>
    <m/>
    <m/>
    <n v="0"/>
    <n v="0"/>
    <n v="0"/>
    <n v="0"/>
    <e v="#DIV/0!"/>
    <n v="0"/>
    <m/>
    <m/>
    <n v="0"/>
    <n v="0"/>
    <m/>
    <m/>
    <n v="0"/>
    <m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Cœur de village 40"/>
    <x v="4"/>
    <x v="2"/>
    <x v="14"/>
    <m/>
    <s v="MHO"/>
    <m/>
    <x v="5"/>
    <m/>
    <m/>
    <m/>
    <m/>
    <m/>
    <m/>
    <m/>
    <m/>
    <m/>
    <m/>
    <m/>
    <m/>
    <m/>
    <m/>
    <m/>
    <m/>
    <m/>
    <m/>
    <m/>
    <m/>
    <x v="2"/>
    <n v="40"/>
    <m/>
    <m/>
    <m/>
    <m/>
    <n v="4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5"/>
    <x v="7"/>
    <n v="1491.5666666666666"/>
    <s v="0"/>
    <n v="22"/>
    <n v="22"/>
    <m/>
    <d v="2020-04-29T00:00:00"/>
    <s v="0"/>
    <m/>
    <d v="2020-04-29T00:00:00"/>
    <s v="0"/>
    <m/>
    <d v="2020-04-29T00:00:00"/>
    <s v="0"/>
    <d v="2019-03-14T00:00:00"/>
    <d v="2020-04-29T00:00:00"/>
    <n v="412"/>
    <m/>
    <m/>
    <s v="0"/>
    <m/>
    <d v="2020-04-29T00:00:00"/>
    <s v="0"/>
    <d v="2019-05-30T00:00:00"/>
    <d v="2020-04-29T00:00:00"/>
    <n v="335"/>
    <m/>
    <m/>
    <m/>
    <d v="2024-05-05T00:00:00"/>
    <d v="2024-05-05T00:00:00"/>
    <n v="0"/>
    <n v="48.9"/>
    <d v="2022-04-29T00:00:00"/>
    <m/>
    <m/>
    <d v="2024-09-07T00:00:00"/>
    <m/>
    <d v="2024-06-05T00:00:00"/>
    <x v="77"/>
    <x v="8"/>
    <n v="0"/>
    <m/>
    <n v="0"/>
    <m/>
    <m/>
    <m/>
    <m/>
    <m/>
    <m/>
    <e v="#DIV/0!"/>
    <m/>
    <m/>
    <m/>
    <m/>
    <d v="2022-04-29T00:00:00"/>
    <m/>
    <m/>
    <m/>
    <m/>
    <m/>
    <m/>
    <d v="2025-05-05T00:00:00"/>
    <m/>
    <m/>
    <m/>
    <m/>
    <m/>
    <m/>
    <m/>
    <m/>
    <m/>
    <m/>
    <m/>
    <m/>
    <m/>
    <m/>
    <m/>
    <n v="0"/>
    <n v="0"/>
    <n v="0"/>
    <n v="0"/>
    <e v="#DIV/0!"/>
    <n v="0"/>
    <m/>
    <m/>
    <n v="0"/>
    <n v="0"/>
    <m/>
    <m/>
    <n v="0"/>
    <m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m/>
  </r>
  <r>
    <s v="Cazala"/>
    <x v="4"/>
    <x v="2"/>
    <x v="14"/>
    <m/>
    <s v="MHO"/>
    <m/>
    <x v="5"/>
    <m/>
    <m/>
    <m/>
    <m/>
    <m/>
    <m/>
    <m/>
    <m/>
    <m/>
    <m/>
    <m/>
    <m/>
    <m/>
    <m/>
    <m/>
    <m/>
    <m/>
    <m/>
    <m/>
    <m/>
    <x v="2"/>
    <n v="57"/>
    <m/>
    <m/>
    <m/>
    <m/>
    <n v="5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6"/>
    <x v="7"/>
    <n v="1491.6"/>
    <s v="0"/>
    <n v="23"/>
    <n v="23"/>
    <m/>
    <d v="2020-04-29T00:00:00"/>
    <s v="0"/>
    <m/>
    <d v="2020-04-29T00:00:00"/>
    <s v="0"/>
    <m/>
    <d v="2020-04-29T00:00:00"/>
    <s v="0"/>
    <d v="2019-03-15T00:00:00"/>
    <d v="2020-04-29T00:00:00"/>
    <n v="411"/>
    <m/>
    <m/>
    <s v="0"/>
    <m/>
    <d v="2020-04-29T00:00:00"/>
    <s v="0"/>
    <d v="2019-05-31T00:00:00"/>
    <d v="2020-04-29T00:00:00"/>
    <n v="334"/>
    <m/>
    <m/>
    <m/>
    <d v="2024-06-06T00:00:00"/>
    <d v="2024-06-06T00:00:00"/>
    <n v="0"/>
    <n v="49.966666666666669"/>
    <d v="2022-04-29T00:00:00"/>
    <m/>
    <m/>
    <d v="2024-10-08T00:00:00"/>
    <m/>
    <d v="2024-07-06T00:00:00"/>
    <x v="78"/>
    <x v="8"/>
    <n v="0"/>
    <m/>
    <n v="0"/>
    <m/>
    <m/>
    <m/>
    <m/>
    <m/>
    <m/>
    <e v="#DIV/0!"/>
    <m/>
    <m/>
    <m/>
    <m/>
    <d v="2022-04-29T00:00:00"/>
    <m/>
    <m/>
    <m/>
    <m/>
    <m/>
    <m/>
    <d v="2025-06-06T00:00:00"/>
    <m/>
    <m/>
    <m/>
    <m/>
    <m/>
    <m/>
    <m/>
    <m/>
    <m/>
    <m/>
    <m/>
    <m/>
    <m/>
    <m/>
    <m/>
    <n v="0"/>
    <n v="0"/>
    <n v="0"/>
    <n v="0"/>
    <e v="#DIV/0!"/>
    <n v="0"/>
    <m/>
    <m/>
    <n v="0"/>
    <n v="0"/>
    <m/>
    <m/>
    <n v="0"/>
    <m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m/>
  </r>
  <r>
    <s v="Le Ruisseau"/>
    <x v="11"/>
    <x v="0"/>
    <x v="14"/>
    <m/>
    <s v="MHO"/>
    <m/>
    <x v="5"/>
    <m/>
    <m/>
    <m/>
    <m/>
    <m/>
    <m/>
    <m/>
    <m/>
    <m/>
    <m/>
    <m/>
    <m/>
    <m/>
    <m/>
    <m/>
    <m/>
    <m/>
    <m/>
    <m/>
    <m/>
    <x v="2"/>
    <n v="29"/>
    <m/>
    <m/>
    <m/>
    <m/>
    <n v="29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7"/>
    <x v="7"/>
    <n v="1491.6333333333334"/>
    <s v="0"/>
    <n v="24"/>
    <n v="24"/>
    <m/>
    <d v="2020-04-29T00:00:00"/>
    <s v="0"/>
    <m/>
    <d v="2020-04-29T00:00:00"/>
    <s v="0"/>
    <m/>
    <d v="2020-04-29T00:00:00"/>
    <s v="0"/>
    <d v="2019-03-16T00:00:00"/>
    <d v="2020-04-29T00:00:00"/>
    <n v="410"/>
    <m/>
    <m/>
    <s v="0"/>
    <m/>
    <d v="2020-04-29T00:00:00"/>
    <s v="0"/>
    <d v="2019-06-01T00:00:00"/>
    <d v="2020-04-29T00:00:00"/>
    <n v="333"/>
    <m/>
    <m/>
    <m/>
    <d v="2024-07-07T00:00:00"/>
    <d v="2024-07-07T00:00:00"/>
    <n v="0"/>
    <n v="51"/>
    <d v="2022-04-29T00:00:00"/>
    <m/>
    <m/>
    <d v="2024-11-09T00:00:00"/>
    <m/>
    <d v="2024-08-07T00:00:00"/>
    <x v="79"/>
    <x v="8"/>
    <n v="0"/>
    <m/>
    <n v="0"/>
    <m/>
    <m/>
    <m/>
    <m/>
    <m/>
    <m/>
    <e v="#DIV/0!"/>
    <m/>
    <m/>
    <m/>
    <m/>
    <d v="2022-04-29T00:00:00"/>
    <m/>
    <m/>
    <m/>
    <m/>
    <m/>
    <m/>
    <d v="2025-07-07T00:00:00"/>
    <m/>
    <m/>
    <m/>
    <m/>
    <m/>
    <m/>
    <m/>
    <m/>
    <m/>
    <m/>
    <m/>
    <m/>
    <m/>
    <m/>
    <m/>
    <n v="0"/>
    <n v="0"/>
    <n v="0"/>
    <n v="0"/>
    <e v="#DIV/0!"/>
    <n v="0"/>
    <m/>
    <m/>
    <n v="0"/>
    <n v="0"/>
    <m/>
    <m/>
    <n v="0"/>
    <m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m/>
  </r>
  <r>
    <s v="La Forêt"/>
    <x v="11"/>
    <x v="0"/>
    <x v="14"/>
    <m/>
    <s v="MHO"/>
    <m/>
    <x v="5"/>
    <m/>
    <m/>
    <m/>
    <m/>
    <m/>
    <m/>
    <m/>
    <m/>
    <m/>
    <m/>
    <m/>
    <m/>
    <m/>
    <m/>
    <m/>
    <m/>
    <m/>
    <m/>
    <m/>
    <m/>
    <x v="2"/>
    <n v="10"/>
    <m/>
    <m/>
    <m/>
    <m/>
    <n v="1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8"/>
    <x v="7"/>
    <n v="1491.6666666666667"/>
    <s v="0"/>
    <n v="25"/>
    <n v="25"/>
    <m/>
    <d v="2020-04-29T00:00:00"/>
    <s v="0"/>
    <m/>
    <d v="2020-04-29T00:00:00"/>
    <s v="0"/>
    <m/>
    <d v="2020-04-29T00:00:00"/>
    <s v="0"/>
    <d v="2019-03-17T00:00:00"/>
    <d v="2020-04-29T00:00:00"/>
    <n v="409"/>
    <m/>
    <m/>
    <s v="0"/>
    <m/>
    <d v="2020-04-29T00:00:00"/>
    <s v="0"/>
    <d v="2019-06-02T00:00:00"/>
    <d v="2020-04-29T00:00:00"/>
    <n v="332"/>
    <m/>
    <m/>
    <m/>
    <d v="2024-08-08T00:00:00"/>
    <d v="2024-08-08T00:00:00"/>
    <n v="0"/>
    <n v="52.06666666666667"/>
    <d v="2022-04-29T00:00:00"/>
    <m/>
    <m/>
    <d v="2024-12-10T00:00:00"/>
    <m/>
    <d v="2024-09-08T00:00:00"/>
    <x v="80"/>
    <x v="8"/>
    <n v="0"/>
    <m/>
    <n v="0"/>
    <m/>
    <m/>
    <m/>
    <m/>
    <m/>
    <m/>
    <e v="#DIV/0!"/>
    <m/>
    <m/>
    <m/>
    <m/>
    <d v="2022-04-29T00:00:00"/>
    <m/>
    <m/>
    <m/>
    <m/>
    <m/>
    <m/>
    <d v="2025-08-08T00:00:00"/>
    <m/>
    <m/>
    <m/>
    <m/>
    <m/>
    <m/>
    <m/>
    <m/>
    <m/>
    <m/>
    <m/>
    <m/>
    <m/>
    <m/>
    <m/>
    <n v="0"/>
    <n v="0"/>
    <n v="0"/>
    <n v="0"/>
    <e v="#DIV/0!"/>
    <n v="0"/>
    <m/>
    <m/>
    <n v="0"/>
    <n v="0"/>
    <m/>
    <m/>
    <n v="0"/>
    <m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m/>
  </r>
  <r>
    <s v="Orchidées 2"/>
    <x v="2"/>
    <x v="2"/>
    <x v="14"/>
    <m/>
    <s v="MHO"/>
    <m/>
    <x v="5"/>
    <m/>
    <m/>
    <m/>
    <m/>
    <m/>
    <m/>
    <m/>
    <m/>
    <m/>
    <n v="0"/>
    <e v="#DIV/0!"/>
    <e v="#DIV/0!"/>
    <m/>
    <n v="0"/>
    <n v="0"/>
    <m/>
    <m/>
    <m/>
    <m/>
    <m/>
    <x v="2"/>
    <n v="86"/>
    <m/>
    <m/>
    <m/>
    <m/>
    <n v="86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9"/>
    <x v="7"/>
    <n v="1491.7"/>
    <s v="0"/>
    <n v="26"/>
    <n v="26"/>
    <m/>
    <d v="2020-04-29T00:00:00"/>
    <s v="0"/>
    <m/>
    <d v="2020-04-29T00:00:00"/>
    <s v="0"/>
    <m/>
    <d v="2020-04-29T00:00:00"/>
    <s v="0"/>
    <d v="2019-03-18T00:00:00"/>
    <d v="2020-04-29T00:00:00"/>
    <n v="408"/>
    <m/>
    <m/>
    <s v="0"/>
    <m/>
    <d v="2020-04-29T00:00:00"/>
    <s v="0"/>
    <d v="2019-06-03T00:00:00"/>
    <d v="2020-04-29T00:00:00"/>
    <n v="331"/>
    <m/>
    <m/>
    <m/>
    <d v="2024-09-09T00:00:00"/>
    <d v="2024-09-09T00:00:00"/>
    <n v="0"/>
    <n v="53.133333333333333"/>
    <d v="2022-04-29T00:00:00"/>
    <m/>
    <m/>
    <d v="2025-01-11T00:00:00"/>
    <m/>
    <d v="2024-10-09T00:00:00"/>
    <x v="81"/>
    <x v="8"/>
    <n v="0"/>
    <m/>
    <n v="0"/>
    <m/>
    <m/>
    <m/>
    <m/>
    <m/>
    <m/>
    <e v="#DIV/0!"/>
    <m/>
    <m/>
    <m/>
    <m/>
    <d v="2022-04-29T00:00:00"/>
    <m/>
    <m/>
    <m/>
    <m/>
    <m/>
    <m/>
    <d v="2025-09-09T00:00:00"/>
    <m/>
    <m/>
    <m/>
    <m/>
    <m/>
    <m/>
    <m/>
    <m/>
    <m/>
    <m/>
    <m/>
    <m/>
    <m/>
    <m/>
    <m/>
    <n v="0"/>
    <n v="0"/>
    <n v="0"/>
    <n v="0"/>
    <e v="#DIV/0!"/>
    <n v="0"/>
    <m/>
    <m/>
    <n v="0"/>
    <n v="0"/>
    <m/>
    <m/>
    <n v="0"/>
    <m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m/>
  </r>
  <r>
    <s v="BENJAMIN HOAREAU"/>
    <x v="2"/>
    <x v="2"/>
    <x v="9"/>
    <m/>
    <m/>
    <m/>
    <x v="4"/>
    <m/>
    <s v="BX 1057,1055,1053,950"/>
    <s v="Terrain Defaud. Attente étude communale passage d'une voie de 9m en ER. _x000a_09/05/18 : discussions en cours avec SPRINR sur optimisation PPR. Commerces prévus en RDC_x000a_Offre refusée par propriétaire_x000a_pas de retour Mairie sur définitiion emprise ER"/>
    <m/>
    <m/>
    <m/>
    <n v="3115"/>
    <m/>
    <m/>
    <n v="0"/>
    <n v="0"/>
    <n v="0"/>
    <e v="#DIV/0!"/>
    <n v="0"/>
    <n v="77.875"/>
    <m/>
    <n v="128.41091492776886"/>
    <s v="UB"/>
    <n v="490"/>
    <n v="0.1"/>
    <x v="0"/>
    <n v="40"/>
    <n v="40"/>
    <m/>
    <n v="40"/>
    <m/>
    <m/>
    <m/>
    <m/>
    <n v="0"/>
    <n v="0"/>
    <m/>
    <m/>
    <m/>
    <m/>
    <m/>
    <m/>
    <m/>
    <m/>
    <m/>
    <m/>
    <m/>
    <m/>
    <m/>
    <m/>
    <m/>
    <m/>
    <m/>
    <m/>
    <m/>
    <m/>
    <m/>
    <m/>
    <m/>
    <m/>
    <m/>
    <n v="0"/>
    <s v="x"/>
    <m/>
    <m/>
    <n v="0"/>
    <m/>
    <m/>
    <m/>
    <m/>
    <d v="1901-12-31T00:00:00"/>
    <m/>
    <s v="oui"/>
    <n v="-1510.7666666666667"/>
    <n v="0"/>
    <n v="0"/>
    <m/>
    <m/>
    <m/>
    <s v="0"/>
    <m/>
    <m/>
    <s v="0"/>
    <m/>
    <m/>
    <s v="0"/>
    <m/>
    <m/>
    <s v="0"/>
    <m/>
    <m/>
    <s v="0"/>
    <m/>
    <m/>
    <m/>
    <m/>
    <s v="0"/>
    <m/>
    <x v="71"/>
    <x v="7"/>
    <n v="1491.4333333333334"/>
    <s v="0"/>
    <n v="39"/>
    <n v="42"/>
    <m/>
    <d v="2020-04-29T00:00:00"/>
    <s v="0"/>
    <m/>
    <d v="2020-04-29T00:00:00"/>
    <s v="0"/>
    <m/>
    <d v="2020-04-29T00:00:00"/>
    <s v="0"/>
    <d v="2019-03-15T00:00:00"/>
    <d v="2020-04-29T00:00:00"/>
    <n v="411"/>
    <m/>
    <m/>
    <s v="0"/>
    <m/>
    <d v="2020-04-29T00:00:00"/>
    <s v="0"/>
    <d v="2019-05-31T00:00:00"/>
    <d v="2020-04-29T00:00:00"/>
    <n v="334"/>
    <m/>
    <m/>
    <m/>
    <d v="2025-10-01T00:00:00"/>
    <d v="2026-01-01T00:00:00"/>
    <n v="3.0666666666666669"/>
    <n v="69.099999999999994"/>
    <d v="2022-04-29T00:00:00"/>
    <m/>
    <m/>
    <d v="2026-05-03T00:00:00"/>
    <m/>
    <d v="2025-11-01T00:00:00"/>
    <x v="82"/>
    <x v="8"/>
    <n v="3.0666666666666669"/>
    <m/>
    <n v="0"/>
    <m/>
    <m/>
    <n v="0"/>
    <m/>
    <m/>
    <m/>
    <e v="#DIV/0!"/>
    <m/>
    <m/>
    <m/>
    <m/>
    <d v="2022-04-29T00:00:00"/>
    <m/>
    <m/>
    <m/>
    <m/>
    <m/>
    <m/>
    <d v="2027-01-01T00:00:00"/>
    <m/>
    <m/>
    <m/>
    <m/>
    <m/>
    <m/>
    <m/>
    <m/>
    <m/>
    <m/>
    <m/>
    <m/>
    <m/>
    <m/>
    <m/>
    <n v="0"/>
    <n v="0"/>
    <n v="0"/>
    <n v="0"/>
    <e v="#DIV/0!"/>
    <n v="0"/>
    <m/>
    <m/>
    <n v="0"/>
    <n v="0"/>
    <m/>
    <m/>
    <n v="0"/>
    <m/>
    <m/>
    <m/>
    <e v="#DIV/0!"/>
    <m/>
    <m/>
    <m/>
    <n v="0"/>
    <n v="0"/>
    <m/>
    <m/>
    <e v="#REF!"/>
    <m/>
    <n v="0"/>
    <e v="#DIV/0!"/>
    <m/>
    <m/>
    <n v="0"/>
    <m/>
    <e v="#DIV/0!"/>
    <n v="0"/>
    <n v="0"/>
    <e v="#DIV/0!"/>
    <m/>
    <n v="0"/>
    <e v="#DIV/0!"/>
    <m/>
    <m/>
    <m/>
    <m/>
    <n v="0"/>
    <m/>
    <m/>
    <m/>
    <m/>
    <m/>
    <m/>
    <n v="0"/>
    <m/>
  </r>
  <r>
    <s v="Jules Arlandas (Alamandas)"/>
    <x v="2"/>
    <x v="2"/>
    <x v="4"/>
    <s v="PRLC 0107"/>
    <s v="SGM"/>
    <m/>
    <x v="0"/>
    <m/>
    <m/>
    <m/>
    <m/>
    <m/>
    <m/>
    <n v="5530"/>
    <n v="1300000"/>
    <n v="1300000"/>
    <n v="17333.333333333332"/>
    <n v="235.08137432188065"/>
    <n v="235.08137432188065"/>
    <n v="198.20517589947033"/>
    <n v="17333.333333333332"/>
    <n v="73.733333333333334"/>
    <m/>
    <n v="135.62386980108499"/>
    <s v="UAa"/>
    <m/>
    <m/>
    <x v="0"/>
    <n v="75"/>
    <n v="75"/>
    <m/>
    <n v="75"/>
    <m/>
    <m/>
    <n v="5619.25"/>
    <n v="6558.86"/>
    <n v="74.923333333333332"/>
    <n v="87.451466666666661"/>
    <n v="5.75"/>
    <n v="4.93"/>
    <n v="431.01153885333326"/>
    <n v="6.6666666666666666E-2"/>
    <n v="0.13333333333333333"/>
    <n v="0.4"/>
    <n v="0.33333333333333331"/>
    <n v="6.6666666666666666E-2"/>
    <n v="697.88"/>
    <n v="0"/>
    <n v="0"/>
    <n v="7"/>
    <s v="collectif"/>
    <s v="oui"/>
    <m/>
    <m/>
    <m/>
    <m/>
    <m/>
    <m/>
    <d v="2012-02-24T00:00:00"/>
    <m/>
    <d v="2012-03-30T00:00:00"/>
    <d v="2012-07-04T00:00:00"/>
    <m/>
    <n v="3.2"/>
    <m/>
    <m/>
    <d v="2012-12-19T00:00:00"/>
    <m/>
    <m/>
    <d v="2013-03-19T00:00:00"/>
    <m/>
    <d v="2013-04-01T00:00:00"/>
    <d v="2015-04-01T00:00:00"/>
    <n v="282342"/>
    <s v="oui"/>
    <n v="-7.9"/>
    <s v="0"/>
    <n v="282342"/>
    <m/>
    <m/>
    <m/>
    <s v="0"/>
    <m/>
    <m/>
    <s v="0"/>
    <m/>
    <m/>
    <s v="0"/>
    <m/>
    <m/>
    <s v="0"/>
    <m/>
    <m/>
    <s v="0"/>
    <m/>
    <m/>
    <m/>
    <m/>
    <s v="0"/>
    <m/>
    <x v="80"/>
    <x v="4"/>
    <n v="11.133333333333333"/>
    <s v="0"/>
    <n v="20"/>
    <n v="28"/>
    <m/>
    <m/>
    <s v="0"/>
    <m/>
    <m/>
    <s v="0"/>
    <m/>
    <m/>
    <s v="0"/>
    <m/>
    <m/>
    <s v="0"/>
    <m/>
    <m/>
    <s v="0"/>
    <m/>
    <m/>
    <s v="0"/>
    <m/>
    <m/>
    <s v="0"/>
    <m/>
    <m/>
    <m/>
    <d v="2015-02-03T00:00:00"/>
    <d v="2015-10-19T00:00:00"/>
    <n v="8.6"/>
    <m/>
    <m/>
    <d v="2015-11-24T00:00:00"/>
    <s v="ok"/>
    <d v="2015-11-24T00:00:00"/>
    <m/>
    <d v="2015-03-03T00:00:00"/>
    <x v="83"/>
    <x v="5"/>
    <n v="8.8666666666666671"/>
    <n v="33302.91469613817"/>
    <n v="295285.84363909176"/>
    <m/>
    <m/>
    <n v="0"/>
    <m/>
    <m/>
    <m/>
    <n v="0"/>
    <m/>
    <s v="OPC :  L'hospitalier par Fromentin_x000a_Lot Etanchéité :_x000a_Lot Peinture :_x000a_Lot Cloison : Plaquiste réunion par Plaquiste.com_x000a_Menui Alu : FAOI par Technipose_x000a_Menui Alu : Technipose par Soremir_x000a_Lot Elect : I2E par Megawatt_x000a_Soit  6 lots sur 22 = 27 %"/>
    <m/>
    <m/>
    <d v="1901-12-31T00:00:00"/>
    <d v="2016-11-05T00:00:00"/>
    <m/>
    <m/>
    <m/>
    <d v="2015-12-03T00:00:00"/>
    <d v="2016-10-13T00:00:00"/>
    <d v="2016-10-19T00:00:00"/>
    <n v="114015"/>
    <s v="ok"/>
    <d v="2016-02-24T00:00:00"/>
    <m/>
    <m/>
    <m/>
    <m/>
    <m/>
    <d v="2018-02-05T00:00:00"/>
    <m/>
    <d v="2017-03-14T00:00:00"/>
    <m/>
    <m/>
    <m/>
    <n v="11693100"/>
    <n v="12349548.309999999"/>
    <n v="12349548.309999999"/>
    <n v="12349548.309999999"/>
    <n v="995000"/>
    <n v="1882.8803038942742"/>
    <n v="164660.64413333332"/>
    <n v="3816022.8"/>
    <m/>
    <n v="50880.303999999996"/>
    <n v="7538525.5099999998"/>
    <n v="1459253.6"/>
    <n v="6079271.9100000001"/>
    <n v="100513.67346666666"/>
    <n v="0"/>
    <n v="995000"/>
    <m/>
    <n v="8.0569748384586873E-2"/>
    <m/>
    <m/>
    <n v="0"/>
    <n v="13266.666666666666"/>
    <n v="64146.970666666661"/>
    <n v="0"/>
    <n v="0"/>
    <e v="#REF!"/>
    <n v="0"/>
    <n v="64146.970666666661"/>
    <n v="0.38957075021960869"/>
    <m/>
    <m/>
    <m/>
    <m/>
    <n v="0"/>
    <n v="12349548.309999999"/>
    <n v="12349548.309999999"/>
    <m/>
    <m/>
    <n v="995000"/>
    <n v="0"/>
    <m/>
    <m/>
    <m/>
    <m/>
    <n v="0"/>
    <m/>
    <m/>
    <m/>
    <m/>
    <m/>
    <m/>
    <n v="0"/>
    <m/>
  </r>
  <r>
    <s v="CAP SUD (ex BOYER LANGEVIN)"/>
    <x v="4"/>
    <x v="2"/>
    <x v="9"/>
    <m/>
    <m/>
    <m/>
    <x v="14"/>
    <m/>
    <s v="BY 674,867,868,872,869,870,877"/>
    <s v="FRAFU OK pour études complémentaires. Courrier Mairie sur urbanisation secteur ou pas avant poursuite_x000a_03/05/18 : Etude FRAFU à lancer au plus tôt parce que CPV toujours en attente d'accord des vendeurs (1 an de discussion) - désaccord entre vendeurs"/>
    <s v="BOYER"/>
    <m/>
    <m/>
    <n v="42374"/>
    <n v="1330000"/>
    <m/>
    <n v="11083.333333333334"/>
    <n v="31.387171378675603"/>
    <n v="0"/>
    <e v="#DIV/0!"/>
    <n v="0"/>
    <n v="353.11666666666667"/>
    <m/>
    <n v="28.319252371737385"/>
    <s v="Modif PLU"/>
    <m/>
    <m/>
    <x v="0"/>
    <n v="120"/>
    <n v="120"/>
    <m/>
    <n v="120"/>
    <m/>
    <m/>
    <m/>
    <m/>
    <n v="0"/>
    <n v="0"/>
    <m/>
    <m/>
    <m/>
    <m/>
    <m/>
    <m/>
    <m/>
    <m/>
    <m/>
    <m/>
    <m/>
    <m/>
    <m/>
    <m/>
    <m/>
    <m/>
    <m/>
    <m/>
    <m/>
    <m/>
    <m/>
    <m/>
    <m/>
    <m/>
    <m/>
    <n v="0"/>
    <s v="x"/>
    <m/>
    <m/>
    <n v="0"/>
    <m/>
    <m/>
    <m/>
    <m/>
    <d v="1901-12-31T00:00:00"/>
    <m/>
    <s v="oui"/>
    <n v="-1512.7333333333333"/>
    <n v="0"/>
    <n v="0"/>
    <m/>
    <m/>
    <m/>
    <s v="0"/>
    <m/>
    <m/>
    <s v="0"/>
    <m/>
    <m/>
    <s v="0"/>
    <m/>
    <m/>
    <s v="0"/>
    <m/>
    <m/>
    <s v="0"/>
    <m/>
    <m/>
    <m/>
    <m/>
    <s v="0"/>
    <m/>
    <x v="71"/>
    <x v="7"/>
    <n v="1491.4333333333334"/>
    <s v="0"/>
    <n v="41"/>
    <n v="44"/>
    <m/>
    <d v="2020-04-29T00:00:00"/>
    <s v="0"/>
    <m/>
    <d v="2020-04-29T00:00:00"/>
    <s v="0"/>
    <m/>
    <d v="2020-04-29T00:00:00"/>
    <s v="0"/>
    <d v="2019-03-17T00:00:00"/>
    <d v="2020-04-29T00:00:00"/>
    <n v="409"/>
    <m/>
    <m/>
    <s v="0"/>
    <m/>
    <d v="2020-04-29T00:00:00"/>
    <s v="0"/>
    <d v="2019-06-02T00:00:00"/>
    <d v="2020-04-29T00:00:00"/>
    <n v="332"/>
    <m/>
    <m/>
    <m/>
    <d v="2025-12-01T00:00:00"/>
    <d v="2026-03-01T00:00:00"/>
    <n v="3"/>
    <n v="71.066666666666663"/>
    <d v="2022-04-29T00:00:00"/>
    <m/>
    <m/>
    <d v="2026-07-03T00:00:00"/>
    <m/>
    <d v="2026-01-01T00:00:00"/>
    <x v="84"/>
    <x v="8"/>
    <n v="3"/>
    <m/>
    <n v="0"/>
    <m/>
    <m/>
    <m/>
    <m/>
    <m/>
    <m/>
    <e v="#DIV/0!"/>
    <m/>
    <m/>
    <m/>
    <m/>
    <d v="2022-04-29T00:00:00"/>
    <m/>
    <m/>
    <m/>
    <m/>
    <m/>
    <m/>
    <d v="2027-03-01T00:00:00"/>
    <m/>
    <m/>
    <m/>
    <m/>
    <m/>
    <m/>
    <m/>
    <m/>
    <m/>
    <m/>
    <m/>
    <m/>
    <m/>
    <m/>
    <m/>
    <n v="0"/>
    <n v="0"/>
    <n v="0"/>
    <n v="0"/>
    <e v="#DIV/0!"/>
    <n v="0"/>
    <m/>
    <m/>
    <n v="0"/>
    <n v="0"/>
    <m/>
    <m/>
    <n v="0"/>
    <m/>
    <m/>
    <m/>
    <e v="#DIV/0!"/>
    <m/>
    <m/>
    <m/>
    <n v="0"/>
    <n v="0"/>
    <m/>
    <m/>
    <e v="#REF!"/>
    <m/>
    <n v="0"/>
    <e v="#DIV/0!"/>
    <m/>
    <m/>
    <m/>
    <m/>
    <e v="#DIV/0!"/>
    <n v="0"/>
    <n v="0"/>
    <e v="#DIV/0!"/>
    <m/>
    <n v="0"/>
    <e v="#DIV/0!"/>
    <m/>
    <m/>
    <m/>
    <m/>
    <n v="0"/>
    <m/>
    <m/>
    <m/>
    <m/>
    <m/>
    <m/>
    <n v="0"/>
    <m/>
  </r>
  <r>
    <s v="AV 120 - 124"/>
    <x v="7"/>
    <x v="0"/>
    <x v="9"/>
    <m/>
    <m/>
    <m/>
    <x v="4"/>
    <m/>
    <s v="AV 120"/>
    <s v="offre faite au vendeur, problème de transcription aux hypothèques : vendeurs pas en mesure de vendre_x000a_o L’EPFR précise qu’il serait intéressant de les solliciter pour percevoir les bonifications SRU ; à ce sujet le plafond a été relevé à 200 K€ par opération depuis janvier 2018_x000a_o La DEAL souhaite de la mixité sur ce projet_x000a_PPA 18/04/18 : vérifier opportunité d'acquisition simultanée de AV 124. vérifier signification&quot;espace non urbanisé hors TU&quot; (couche SIG). Etude FRAFU à envisager. Vérifier zonage NAU (nouveau PLU)_x000a_"/>
    <m/>
    <m/>
    <m/>
    <n v="10113"/>
    <n v="1097000"/>
    <n v="1097000"/>
    <n v="12465.90909090909"/>
    <n v="108.47424107584297"/>
    <n v="108.47424107584297"/>
    <e v="#DIV/0!"/>
    <n v="12465.90909090909"/>
    <n v="114.92045454545455"/>
    <m/>
    <n v="87.016711163848512"/>
    <s v="UB"/>
    <m/>
    <m/>
    <x v="0"/>
    <n v="88"/>
    <n v="88"/>
    <m/>
    <n v="88"/>
    <m/>
    <m/>
    <m/>
    <m/>
    <n v="0"/>
    <n v="0"/>
    <m/>
    <m/>
    <m/>
    <m/>
    <m/>
    <m/>
    <m/>
    <m/>
    <m/>
    <m/>
    <m/>
    <m/>
    <m/>
    <m/>
    <m/>
    <m/>
    <m/>
    <m/>
    <m/>
    <m/>
    <m/>
    <m/>
    <m/>
    <m/>
    <m/>
    <n v="0"/>
    <s v="x"/>
    <m/>
    <m/>
    <n v="0"/>
    <m/>
    <m/>
    <m/>
    <m/>
    <d v="1901-12-31T00:00:00"/>
    <m/>
    <s v="oui"/>
    <n v="-1516.8"/>
    <n v="0"/>
    <n v="0"/>
    <m/>
    <m/>
    <m/>
    <s v="0"/>
    <m/>
    <m/>
    <s v="0"/>
    <m/>
    <m/>
    <s v="0"/>
    <m/>
    <m/>
    <s v="0"/>
    <m/>
    <m/>
    <s v="0"/>
    <m/>
    <m/>
    <m/>
    <m/>
    <s v="0"/>
    <m/>
    <x v="81"/>
    <x v="7"/>
    <n v="1503.6"/>
    <s v="0"/>
    <n v="33"/>
    <n v="36"/>
    <m/>
    <d v="2020-04-29T00:00:00"/>
    <s v="0"/>
    <m/>
    <d v="2020-04-29T00:00:00"/>
    <s v="0"/>
    <m/>
    <d v="2020-04-29T00:00:00"/>
    <s v="0"/>
    <d v="2019-03-09T00:00:00"/>
    <d v="2020-04-29T00:00:00"/>
    <n v="417"/>
    <m/>
    <m/>
    <s v="0"/>
    <m/>
    <d v="2020-04-29T00:00:00"/>
    <s v="0"/>
    <d v="2019-05-25T00:00:00"/>
    <d v="2020-04-29T00:00:00"/>
    <n v="340"/>
    <m/>
    <m/>
    <m/>
    <d v="2026-04-01T00:00:00"/>
    <d v="2026-07-01T00:00:00"/>
    <n v="3.0333333333333332"/>
    <n v="75.13333333333334"/>
    <d v="2022-04-29T00:00:00"/>
    <m/>
    <m/>
    <d v="2026-11-03T00:00:00"/>
    <m/>
    <d v="2026-05-01T00:00:00"/>
    <x v="85"/>
    <x v="8"/>
    <n v="3.0666666666666669"/>
    <m/>
    <n v="0"/>
    <m/>
    <n v="0"/>
    <n v="0"/>
    <m/>
    <m/>
    <m/>
    <e v="#DIV/0!"/>
    <m/>
    <m/>
    <m/>
    <m/>
    <d v="2022-04-29T00:00:00"/>
    <m/>
    <m/>
    <m/>
    <m/>
    <m/>
    <m/>
    <d v="2027-07-01T00:00:00"/>
    <m/>
    <m/>
    <m/>
    <m/>
    <m/>
    <m/>
    <m/>
    <m/>
    <m/>
    <m/>
    <m/>
    <m/>
    <m/>
    <m/>
    <m/>
    <n v="0"/>
    <n v="0"/>
    <n v="0"/>
    <n v="0"/>
    <e v="#DIV/0!"/>
    <n v="0"/>
    <m/>
    <m/>
    <n v="0"/>
    <n v="0"/>
    <m/>
    <m/>
    <n v="0"/>
    <m/>
    <m/>
    <m/>
    <e v="#DIV/0!"/>
    <m/>
    <m/>
    <m/>
    <n v="0"/>
    <n v="0"/>
    <m/>
    <m/>
    <e v="#REF!"/>
    <m/>
    <n v="0"/>
    <e v="#DIV/0!"/>
    <m/>
    <m/>
    <m/>
    <m/>
    <e v="#DIV/0!"/>
    <n v="0"/>
    <n v="0"/>
    <e v="#DIV/0!"/>
    <m/>
    <n v="0"/>
    <e v="#DIV/0!"/>
    <m/>
    <m/>
    <m/>
    <m/>
    <n v="0"/>
    <m/>
    <m/>
    <m/>
    <m/>
    <m/>
    <m/>
    <n v="0"/>
    <m/>
  </r>
  <r>
    <s v="BX 420"/>
    <x v="2"/>
    <x v="2"/>
    <x v="9"/>
    <m/>
    <m/>
    <m/>
    <x v="15"/>
    <m/>
    <s v="BX 420"/>
    <s v="Propriétaire à relancer sur opportunité de vente_x000a_Mairie veut du PLS - Position Etat à définir_x000a_Etude à lancer sur programme qui passe de 35 à 60 lgts_x000a_Reflexion SODEGIS élargie aux parcelles voisines_x000a_Terrain toujours disponible ? Attention terrain cher"/>
    <m/>
    <m/>
    <m/>
    <n v="2165"/>
    <n v="866000"/>
    <m/>
    <n v="14433.333333333334"/>
    <n v="400"/>
    <n v="0"/>
    <e v="#DIV/0!"/>
    <n v="0"/>
    <n v="36.083333333333336"/>
    <m/>
    <n v="277.13625866050808"/>
    <s v="UB"/>
    <n v="500"/>
    <n v="0.1"/>
    <x v="1"/>
    <n v="60"/>
    <n v="60"/>
    <n v="30"/>
    <m/>
    <n v="30"/>
    <m/>
    <m/>
    <m/>
    <n v="0"/>
    <n v="0"/>
    <m/>
    <m/>
    <m/>
    <m/>
    <m/>
    <m/>
    <m/>
    <m/>
    <m/>
    <m/>
    <m/>
    <m/>
    <m/>
    <m/>
    <m/>
    <m/>
    <m/>
    <m/>
    <m/>
    <m/>
    <m/>
    <m/>
    <m/>
    <m/>
    <m/>
    <n v="0"/>
    <s v="x"/>
    <m/>
    <m/>
    <n v="0"/>
    <m/>
    <m/>
    <m/>
    <m/>
    <d v="1901-12-31T00:00:00"/>
    <m/>
    <s v="oui"/>
    <n v="-1525.9"/>
    <n v="0"/>
    <n v="0"/>
    <m/>
    <m/>
    <m/>
    <s v="0"/>
    <m/>
    <m/>
    <s v="0"/>
    <m/>
    <m/>
    <s v="0"/>
    <m/>
    <m/>
    <s v="0"/>
    <m/>
    <m/>
    <s v="0"/>
    <m/>
    <m/>
    <m/>
    <m/>
    <s v="0"/>
    <m/>
    <x v="81"/>
    <x v="7"/>
    <n v="1503.6"/>
    <s v="0"/>
    <n v="42"/>
    <n v="45"/>
    <m/>
    <d v="2020-04-29T00:00:00"/>
    <s v="0"/>
    <m/>
    <d v="2020-04-29T00:00:00"/>
    <s v="0"/>
    <m/>
    <d v="2020-04-29T00:00:00"/>
    <s v="0"/>
    <d v="2019-03-18T00:00:00"/>
    <d v="2020-04-29T00:00:00"/>
    <n v="408"/>
    <m/>
    <m/>
    <s v="0"/>
    <m/>
    <d v="2020-04-29T00:00:00"/>
    <s v="0"/>
    <d v="2019-06-03T00:00:00"/>
    <d v="2020-04-29T00:00:00"/>
    <n v="331"/>
    <m/>
    <m/>
    <m/>
    <d v="2027-01-01T00:00:00"/>
    <d v="2027-04-01T00:00:00"/>
    <n v="3"/>
    <n v="84.266666666666666"/>
    <d v="2022-04-29T00:00:00"/>
    <m/>
    <m/>
    <d v="2027-08-03T00:00:00"/>
    <m/>
    <d v="2027-02-01T00:00:00"/>
    <x v="86"/>
    <x v="8"/>
    <n v="2.9666666666666668"/>
    <m/>
    <n v="0"/>
    <m/>
    <m/>
    <n v="0"/>
    <m/>
    <m/>
    <m/>
    <e v="#DIV/0!"/>
    <m/>
    <m/>
    <m/>
    <m/>
    <d v="2022-04-29T00:00:00"/>
    <m/>
    <m/>
    <m/>
    <m/>
    <m/>
    <m/>
    <d v="2028-04-01T00:00:00"/>
    <m/>
    <m/>
    <m/>
    <m/>
    <m/>
    <m/>
    <m/>
    <m/>
    <m/>
    <m/>
    <m/>
    <m/>
    <m/>
    <m/>
    <m/>
    <n v="0"/>
    <n v="0"/>
    <n v="0"/>
    <n v="0"/>
    <e v="#DIV/0!"/>
    <n v="0"/>
    <m/>
    <m/>
    <n v="0"/>
    <n v="0"/>
    <m/>
    <m/>
    <n v="0"/>
    <m/>
    <m/>
    <m/>
    <e v="#DIV/0!"/>
    <m/>
    <m/>
    <m/>
    <n v="0"/>
    <n v="0"/>
    <m/>
    <m/>
    <e v="#REF!"/>
    <m/>
    <n v="0"/>
    <e v="#REF!"/>
    <m/>
    <m/>
    <n v="0"/>
    <m/>
    <e v="#DIV/0!"/>
    <n v="0"/>
    <n v="0"/>
    <m/>
    <m/>
    <m/>
    <m/>
    <m/>
    <m/>
    <m/>
    <m/>
    <n v="0"/>
    <m/>
    <m/>
    <m/>
    <m/>
    <m/>
    <m/>
    <n v="0"/>
    <m/>
  </r>
  <r>
    <s v="DESIRE 3"/>
    <x v="0"/>
    <x v="0"/>
    <x v="10"/>
    <m/>
    <m/>
    <m/>
    <x v="4"/>
    <m/>
    <s v="AK 661 - 770"/>
    <s v="terrain en indivision bloqué (39 coindivisaires)_x000a_opération déséquilibrée financièrement"/>
    <s v="Mairie / privé"/>
    <m/>
    <m/>
    <n v="3252"/>
    <n v="567840"/>
    <n v="567840"/>
    <n v="37856"/>
    <n v="174.61254612546125"/>
    <n v="174.61254612546125"/>
    <e v="#DIV/0!"/>
    <n v="37856"/>
    <n v="216.8"/>
    <m/>
    <n v="46.125461254612546"/>
    <m/>
    <m/>
    <m/>
    <x v="0"/>
    <n v="15"/>
    <n v="15"/>
    <m/>
    <n v="15"/>
    <m/>
    <m/>
    <m/>
    <m/>
    <n v="0"/>
    <n v="0"/>
    <m/>
    <m/>
    <m/>
    <m/>
    <m/>
    <m/>
    <m/>
    <m/>
    <m/>
    <m/>
    <m/>
    <m/>
    <m/>
    <m/>
    <m/>
    <m/>
    <m/>
    <m/>
    <m/>
    <m/>
    <m/>
    <m/>
    <m/>
    <m/>
    <m/>
    <n v="0"/>
    <s v="x"/>
    <m/>
    <m/>
    <n v="0"/>
    <m/>
    <m/>
    <m/>
    <m/>
    <d v="1901-12-31T00:00:00"/>
    <m/>
    <s v="oui"/>
    <n v="-1526.9333333333334"/>
    <n v="0"/>
    <n v="0"/>
    <m/>
    <m/>
    <m/>
    <s v="0"/>
    <m/>
    <m/>
    <s v="0"/>
    <m/>
    <m/>
    <s v="0"/>
    <m/>
    <m/>
    <s v="0"/>
    <m/>
    <m/>
    <s v="0"/>
    <m/>
    <m/>
    <m/>
    <m/>
    <m/>
    <m/>
    <x v="81"/>
    <x v="7"/>
    <n v="1503.6"/>
    <s v="0"/>
    <n v="43"/>
    <n v="46"/>
    <m/>
    <d v="2020-04-29T00:00:00"/>
    <s v="0"/>
    <m/>
    <d v="2020-04-29T00:00:00"/>
    <s v="0"/>
    <m/>
    <d v="2020-04-29T00:00:00"/>
    <s v="0"/>
    <d v="2019-03-19T00:00:00"/>
    <d v="2020-04-29T00:00:00"/>
    <n v="407"/>
    <m/>
    <m/>
    <s v="0"/>
    <m/>
    <d v="2020-04-29T00:00:00"/>
    <s v="0"/>
    <d v="2019-06-04T00:00:00"/>
    <d v="2020-04-29T00:00:00"/>
    <n v="330"/>
    <m/>
    <m/>
    <m/>
    <d v="2027-02-01T00:00:00"/>
    <d v="2027-05-01T00:00:00"/>
    <n v="2.9666666666666668"/>
    <n v="85.266666666666666"/>
    <d v="2022-04-29T00:00:00"/>
    <m/>
    <m/>
    <d v="2027-09-03T00:00:00"/>
    <m/>
    <d v="2027-03-01T00:00:00"/>
    <x v="87"/>
    <x v="8"/>
    <n v="3.0666666666666669"/>
    <m/>
    <n v="0"/>
    <m/>
    <m/>
    <m/>
    <m/>
    <m/>
    <m/>
    <e v="#DIV/0!"/>
    <m/>
    <m/>
    <m/>
    <m/>
    <d v="2022-04-29T00:00:00"/>
    <m/>
    <m/>
    <m/>
    <m/>
    <m/>
    <m/>
    <d v="2028-05-01T00:00:00"/>
    <m/>
    <m/>
    <m/>
    <m/>
    <m/>
    <m/>
    <m/>
    <m/>
    <m/>
    <m/>
    <m/>
    <m/>
    <m/>
    <m/>
    <m/>
    <n v="0"/>
    <n v="0"/>
    <n v="0"/>
    <n v="0"/>
    <e v="#DIV/0!"/>
    <e v="#REF!"/>
    <m/>
    <m/>
    <m/>
    <n v="0"/>
    <m/>
    <m/>
    <n v="0"/>
    <m/>
    <m/>
    <m/>
    <e v="#DIV/0!"/>
    <m/>
    <m/>
    <m/>
    <n v="0"/>
    <n v="0"/>
    <m/>
    <m/>
    <e v="#REF!"/>
    <m/>
    <n v="0"/>
    <e v="#DIV/0!"/>
    <m/>
    <m/>
    <m/>
    <m/>
    <e v="#DIV/0!"/>
    <n v="0"/>
    <n v="0"/>
    <e v="#DIV/0!"/>
    <m/>
    <n v="0"/>
    <e v="#DIV/0!"/>
    <m/>
    <m/>
    <m/>
    <m/>
    <n v="0"/>
    <m/>
    <m/>
    <m/>
    <m/>
    <m/>
    <m/>
    <n v="0"/>
    <m/>
  </r>
  <r>
    <s v="VEFA Trèfles"/>
    <x v="4"/>
    <x v="2"/>
    <x v="10"/>
    <m/>
    <m/>
    <m/>
    <x v="5"/>
    <m/>
    <s v="BV 024,213 AO 716,726"/>
    <s v="Ex projet PTZ de B Bois – En attente octroi prêt pour la dernière famille- pas d’avancée - simulations financières font état d'un déséquilibre financier du au prix du foncier - Ville informée"/>
    <m/>
    <m/>
    <m/>
    <n v="7800"/>
    <n v="330000"/>
    <n v="330000"/>
    <n v="22000"/>
    <n v="42.307692307692307"/>
    <n v="42.307692307692307"/>
    <e v="#DIV/0!"/>
    <n v="22000"/>
    <n v="520"/>
    <m/>
    <n v="19.23076923076923"/>
    <m/>
    <m/>
    <m/>
    <x v="0"/>
    <n v="15"/>
    <n v="15"/>
    <m/>
    <n v="15"/>
    <m/>
    <m/>
    <m/>
    <m/>
    <n v="0"/>
    <n v="0"/>
    <m/>
    <m/>
    <m/>
    <m/>
    <m/>
    <m/>
    <m/>
    <m/>
    <m/>
    <m/>
    <m/>
    <m/>
    <m/>
    <m/>
    <m/>
    <e v="#DIV/0!"/>
    <e v="#DIV/0!"/>
    <n v="0"/>
    <m/>
    <m/>
    <m/>
    <m/>
    <m/>
    <m/>
    <m/>
    <n v="0"/>
    <s v="x"/>
    <m/>
    <m/>
    <n v="0"/>
    <m/>
    <m/>
    <m/>
    <m/>
    <d v="1901-12-31T00:00:00"/>
    <m/>
    <s v="oui"/>
    <n v="-1528.9666666666667"/>
    <n v="0"/>
    <n v="0"/>
    <m/>
    <m/>
    <m/>
    <s v="0"/>
    <m/>
    <m/>
    <s v="0"/>
    <m/>
    <m/>
    <s v="0"/>
    <m/>
    <m/>
    <s v="0"/>
    <m/>
    <m/>
    <s v="0"/>
    <m/>
    <m/>
    <m/>
    <m/>
    <m/>
    <m/>
    <x v="81"/>
    <x v="7"/>
    <n v="1503.6"/>
    <s v="0"/>
    <n v="45"/>
    <n v="48"/>
    <m/>
    <d v="2020-04-29T00:00:00"/>
    <s v="0"/>
    <m/>
    <d v="2020-04-29T00:00:00"/>
    <s v="0"/>
    <m/>
    <d v="2020-04-29T00:00:00"/>
    <s v="0"/>
    <d v="2019-03-21T00:00:00"/>
    <d v="2020-04-29T00:00:00"/>
    <n v="405"/>
    <m/>
    <m/>
    <s v="0"/>
    <m/>
    <d v="2020-04-29T00:00:00"/>
    <s v="0"/>
    <d v="2019-06-06T00:00:00"/>
    <d v="2020-04-29T00:00:00"/>
    <n v="328"/>
    <m/>
    <m/>
    <m/>
    <d v="2027-04-01T00:00:00"/>
    <d v="2027-07-01T00:00:00"/>
    <n v="3.0333333333333332"/>
    <n v="87.3"/>
    <d v="2022-04-29T00:00:00"/>
    <m/>
    <m/>
    <d v="2027-11-03T00:00:00"/>
    <m/>
    <d v="2027-05-01T00:00:00"/>
    <x v="88"/>
    <x v="8"/>
    <n v="3.0666666666666669"/>
    <m/>
    <n v="0"/>
    <m/>
    <m/>
    <m/>
    <m/>
    <m/>
    <m/>
    <e v="#DIV/0!"/>
    <m/>
    <m/>
    <m/>
    <m/>
    <d v="2022-04-29T00:00:00"/>
    <m/>
    <m/>
    <m/>
    <m/>
    <m/>
    <m/>
    <d v="2028-07-01T00:00:00"/>
    <m/>
    <m/>
    <m/>
    <m/>
    <m/>
    <m/>
    <m/>
    <m/>
    <m/>
    <m/>
    <m/>
    <m/>
    <m/>
    <m/>
    <m/>
    <n v="0"/>
    <n v="0"/>
    <n v="0"/>
    <n v="0"/>
    <e v="#DIV/0!"/>
    <e v="#REF!"/>
    <m/>
    <m/>
    <m/>
    <n v="0"/>
    <m/>
    <m/>
    <n v="0"/>
    <m/>
    <m/>
    <m/>
    <e v="#DIV/0!"/>
    <m/>
    <m/>
    <m/>
    <n v="0"/>
    <n v="0"/>
    <m/>
    <m/>
    <e v="#REF!"/>
    <m/>
    <n v="0"/>
    <e v="#DIV/0!"/>
    <m/>
    <m/>
    <m/>
    <m/>
    <e v="#DIV/0!"/>
    <n v="0"/>
    <n v="0"/>
    <e v="#DIV/0!"/>
    <m/>
    <n v="0"/>
    <e v="#DIV/0!"/>
    <m/>
    <m/>
    <m/>
    <m/>
    <n v="0"/>
    <m/>
    <m/>
    <m/>
    <m/>
    <m/>
    <m/>
    <n v="0"/>
    <m/>
  </r>
  <r>
    <s v="ETUDE URBAINE DU 23e KM - CHATAIGNERS"/>
    <x v="2"/>
    <x v="2"/>
    <x v="9"/>
    <m/>
    <m/>
    <m/>
    <x v="5"/>
    <m/>
    <s v="DE 22,407,408,265"/>
    <s v="3 ha de terrain constructible- Etude Phase 1 présentée à DEAL_x000a_09/05/18 : Etude FRAFU relancée (signée par nouveau DG). A présenter + définition du programme à préciser (mixité sociale et fonctionnelle à prévoir)_x000a_Relevé topo initial envoyé à la Ville - pas de retour"/>
    <s v="Mairie"/>
    <m/>
    <m/>
    <n v="45094"/>
    <n v="2460000"/>
    <m/>
    <n v="27333.333333333332"/>
    <n v="54.552712112476158"/>
    <n v="0"/>
    <e v="#DIV/0!"/>
    <n v="0"/>
    <n v="501.04444444444442"/>
    <m/>
    <n v="19.958309309442498"/>
    <s v="Modif PLU"/>
    <n v="1300"/>
    <n v="0.1"/>
    <x v="0"/>
    <n v="90"/>
    <n v="90"/>
    <m/>
    <n v="90"/>
    <m/>
    <m/>
    <m/>
    <m/>
    <n v="0"/>
    <n v="0"/>
    <m/>
    <m/>
    <m/>
    <m/>
    <m/>
    <m/>
    <m/>
    <m/>
    <m/>
    <m/>
    <m/>
    <m/>
    <m/>
    <m/>
    <m/>
    <m/>
    <m/>
    <m/>
    <m/>
    <m/>
    <m/>
    <m/>
    <m/>
    <m/>
    <m/>
    <n v="0"/>
    <s v="x"/>
    <m/>
    <m/>
    <n v="0"/>
    <m/>
    <m/>
    <m/>
    <m/>
    <d v="1901-12-31T00:00:00"/>
    <m/>
    <s v="oui"/>
    <n v="-1532.0333333333333"/>
    <n v="0"/>
    <n v="0"/>
    <m/>
    <m/>
    <m/>
    <s v="0"/>
    <m/>
    <m/>
    <s v="0"/>
    <m/>
    <m/>
    <s v="0"/>
    <m/>
    <m/>
    <s v="0"/>
    <m/>
    <m/>
    <s v="0"/>
    <m/>
    <m/>
    <m/>
    <m/>
    <s v="0"/>
    <m/>
    <x v="81"/>
    <x v="7"/>
    <n v="1503.6"/>
    <s v="0"/>
    <n v="48"/>
    <n v="51"/>
    <m/>
    <d v="2020-04-29T00:00:00"/>
    <s v="0"/>
    <m/>
    <d v="2020-04-29T00:00:00"/>
    <s v="0"/>
    <m/>
    <d v="2020-04-29T00:00:00"/>
    <s v="0"/>
    <d v="2019-03-24T00:00:00"/>
    <d v="2020-04-29T00:00:00"/>
    <n v="402"/>
    <m/>
    <m/>
    <s v="0"/>
    <m/>
    <d v="2020-04-29T00:00:00"/>
    <s v="0"/>
    <d v="2019-06-09T00:00:00"/>
    <d v="2020-04-29T00:00:00"/>
    <n v="325"/>
    <m/>
    <m/>
    <m/>
    <d v="2027-07-01T00:00:00"/>
    <d v="2027-10-01T00:00:00"/>
    <n v="3.0666666666666669"/>
    <n v="90.36666666666666"/>
    <d v="2022-04-29T00:00:00"/>
    <m/>
    <m/>
    <d v="2028-02-03T00:00:00"/>
    <m/>
    <d v="2027-08-01T00:00:00"/>
    <x v="89"/>
    <x v="8"/>
    <n v="3.0666666666666669"/>
    <m/>
    <n v="0"/>
    <m/>
    <m/>
    <m/>
    <m/>
    <m/>
    <m/>
    <e v="#DIV/0!"/>
    <m/>
    <m/>
    <m/>
    <m/>
    <d v="2022-04-29T00:00:00"/>
    <m/>
    <m/>
    <m/>
    <m/>
    <m/>
    <m/>
    <d v="2028-10-01T00:00:00"/>
    <m/>
    <m/>
    <m/>
    <m/>
    <m/>
    <m/>
    <m/>
    <m/>
    <m/>
    <m/>
    <m/>
    <m/>
    <m/>
    <m/>
    <m/>
    <n v="0"/>
    <n v="0"/>
    <n v="0"/>
    <n v="0"/>
    <e v="#DIV/0!"/>
    <n v="0"/>
    <m/>
    <m/>
    <n v="0"/>
    <n v="0"/>
    <m/>
    <m/>
    <n v="0"/>
    <m/>
    <m/>
    <m/>
    <e v="#DIV/0!"/>
    <m/>
    <m/>
    <m/>
    <n v="0"/>
    <n v="0"/>
    <m/>
    <m/>
    <e v="#REF!"/>
    <m/>
    <n v="0"/>
    <e v="#DIV/0!"/>
    <m/>
    <m/>
    <m/>
    <m/>
    <e v="#DIV/0!"/>
    <n v="0"/>
    <n v="0"/>
    <e v="#DIV/0!"/>
    <m/>
    <n v="0"/>
    <e v="#DIV/0!"/>
    <m/>
    <m/>
    <m/>
    <m/>
    <n v="0"/>
    <m/>
    <m/>
    <m/>
    <m/>
    <m/>
    <m/>
    <m/>
    <m/>
  </r>
  <r>
    <s v="BT 920 3 MARES"/>
    <x v="2"/>
    <x v="2"/>
    <x v="15"/>
    <m/>
    <m/>
    <m/>
    <x v="5"/>
    <m/>
    <s v="BT 920"/>
    <s v="mairie ne souhaite pas de logements aidés - terrain maîtrisé par la Ville / relancer mairie sur volonté programmatique"/>
    <s v="Mairie"/>
    <m/>
    <m/>
    <n v="52241"/>
    <m/>
    <m/>
    <n v="0"/>
    <n v="0"/>
    <n v="0"/>
    <e v="#DIV/0!"/>
    <n v="0"/>
    <n v="870.68333333333328"/>
    <m/>
    <n v="11.485231905974235"/>
    <m/>
    <m/>
    <m/>
    <x v="0"/>
    <n v="60"/>
    <n v="60"/>
    <m/>
    <n v="60"/>
    <m/>
    <m/>
    <m/>
    <m/>
    <n v="0"/>
    <n v="0"/>
    <m/>
    <m/>
    <m/>
    <m/>
    <m/>
    <m/>
    <m/>
    <m/>
    <m/>
    <m/>
    <m/>
    <m/>
    <m/>
    <m/>
    <m/>
    <m/>
    <m/>
    <m/>
    <m/>
    <m/>
    <m/>
    <m/>
    <m/>
    <m/>
    <m/>
    <n v="0"/>
    <s v="x"/>
    <m/>
    <m/>
    <n v="0"/>
    <m/>
    <m/>
    <m/>
    <m/>
    <d v="1901-12-31T00:00:00"/>
    <m/>
    <s v="oui"/>
    <n v="-1533.0333333333333"/>
    <n v="0"/>
    <n v="0"/>
    <m/>
    <m/>
    <m/>
    <s v="0"/>
    <m/>
    <m/>
    <s v="0"/>
    <m/>
    <m/>
    <s v="0"/>
    <m/>
    <m/>
    <s v="0"/>
    <m/>
    <m/>
    <s v="0"/>
    <m/>
    <m/>
    <m/>
    <m/>
    <m/>
    <m/>
    <x v="71"/>
    <x v="7"/>
    <n v="1491.4333333333334"/>
    <s v="0"/>
    <n v="61"/>
    <n v="64"/>
    <m/>
    <d v="2020-04-29T00:00:00"/>
    <s v="0"/>
    <m/>
    <d v="2020-04-29T00:00:00"/>
    <s v="0"/>
    <m/>
    <d v="2020-04-29T00:00:00"/>
    <s v="0"/>
    <d v="2019-04-06T00:00:00"/>
    <d v="2020-04-29T00:00:00"/>
    <n v="389"/>
    <m/>
    <m/>
    <s v="0"/>
    <m/>
    <d v="2020-04-29T00:00:00"/>
    <s v="0"/>
    <d v="2019-06-22T00:00:00"/>
    <d v="2020-04-29T00:00:00"/>
    <n v="312"/>
    <m/>
    <m/>
    <m/>
    <d v="2027-08-01T00:00:00"/>
    <d v="2027-11-01T00:00:00"/>
    <n v="3.0666666666666669"/>
    <n v="91.4"/>
    <d v="2022-04-29T00:00:00"/>
    <m/>
    <m/>
    <d v="2028-03-03T00:00:00"/>
    <m/>
    <d v="2027-09-01T00:00:00"/>
    <x v="90"/>
    <x v="8"/>
    <n v="3.0333333333333332"/>
    <m/>
    <n v="0"/>
    <m/>
    <m/>
    <m/>
    <m/>
    <m/>
    <m/>
    <e v="#DIV/0!"/>
    <m/>
    <m/>
    <m/>
    <m/>
    <d v="2022-04-29T00:00:00"/>
    <m/>
    <m/>
    <m/>
    <m/>
    <m/>
    <m/>
    <d v="2028-11-01T00:00:00"/>
    <m/>
    <m/>
    <m/>
    <m/>
    <m/>
    <m/>
    <m/>
    <m/>
    <m/>
    <m/>
    <m/>
    <m/>
    <m/>
    <m/>
    <m/>
    <n v="0"/>
    <n v="0"/>
    <n v="0"/>
    <n v="0"/>
    <e v="#DIV/0!"/>
    <e v="#REF!"/>
    <m/>
    <m/>
    <m/>
    <n v="0"/>
    <m/>
    <m/>
    <n v="0"/>
    <m/>
    <m/>
    <m/>
    <e v="#DIV/0!"/>
    <m/>
    <m/>
    <m/>
    <n v="0"/>
    <n v="0"/>
    <m/>
    <m/>
    <e v="#REF!"/>
    <m/>
    <n v="0"/>
    <e v="#DIV/0!"/>
    <m/>
    <m/>
    <m/>
    <m/>
    <e v="#DIV/0!"/>
    <n v="0"/>
    <n v="0"/>
    <e v="#DIV/0!"/>
    <m/>
    <n v="0"/>
    <e v="#DIV/0!"/>
    <m/>
    <m/>
    <m/>
    <m/>
    <n v="0"/>
    <m/>
    <m/>
    <m/>
    <m/>
    <m/>
    <m/>
    <n v="0"/>
    <m/>
  </r>
  <r>
    <s v="CESARIA"/>
    <x v="2"/>
    <x v="2"/>
    <x v="11"/>
    <m/>
    <m/>
    <m/>
    <x v="9"/>
    <m/>
    <s v="BD 2997"/>
    <s v="réétudier opé avec FRAFU à la demande de la DEAL_x000a_ Attente PLU 2018_x000a_faire simul FRAFU"/>
    <m/>
    <m/>
    <m/>
    <n v="6396"/>
    <n v="703760"/>
    <n v="703760"/>
    <n v="19020.54054054054"/>
    <n v="110.03126954346466"/>
    <n v="110.03126954346466"/>
    <n v="253.39079776911251"/>
    <n v="19020.54054054054"/>
    <n v="172.86486486486487"/>
    <m/>
    <n v="57.848655409631021"/>
    <s v="2NAUh"/>
    <n v="730"/>
    <n v="0.2"/>
    <x v="0"/>
    <n v="37"/>
    <n v="37"/>
    <m/>
    <n v="37"/>
    <m/>
    <m/>
    <m/>
    <n v="2777.37"/>
    <n v="0"/>
    <n v="75.064054054054054"/>
    <m/>
    <m/>
    <m/>
    <m/>
    <m/>
    <m/>
    <m/>
    <m/>
    <m/>
    <m/>
    <n v="598"/>
    <n v="1.5"/>
    <s v="collectif"/>
    <s v="non"/>
    <m/>
    <m/>
    <m/>
    <m/>
    <m/>
    <m/>
    <m/>
    <m/>
    <m/>
    <m/>
    <m/>
    <n v="0"/>
    <s v="x"/>
    <m/>
    <m/>
    <n v="0"/>
    <m/>
    <m/>
    <m/>
    <m/>
    <d v="1901-12-31T00:00:00"/>
    <m/>
    <s v="oui"/>
    <n v="-1536.0666666666666"/>
    <n v="0"/>
    <n v="0"/>
    <m/>
    <m/>
    <m/>
    <s v="0"/>
    <m/>
    <m/>
    <s v="0"/>
    <m/>
    <m/>
    <s v="0"/>
    <m/>
    <m/>
    <s v="0"/>
    <m/>
    <m/>
    <s v="0"/>
    <m/>
    <m/>
    <m/>
    <m/>
    <m/>
    <m/>
    <x v="81"/>
    <x v="7"/>
    <n v="1503.6"/>
    <s v="0"/>
    <n v="52"/>
    <n v="55"/>
    <m/>
    <d v="2020-04-29T00:00:00"/>
    <s v="0"/>
    <m/>
    <d v="2020-04-29T00:00:00"/>
    <s v="0"/>
    <m/>
    <d v="2020-04-29T00:00:00"/>
    <s v="0"/>
    <d v="2019-03-28T00:00:00"/>
    <d v="2020-04-29T00:00:00"/>
    <n v="398"/>
    <m/>
    <m/>
    <s v="0"/>
    <m/>
    <d v="2020-04-29T00:00:00"/>
    <s v="0"/>
    <d v="2019-06-13T00:00:00"/>
    <d v="2020-04-29T00:00:00"/>
    <n v="321"/>
    <m/>
    <m/>
    <m/>
    <d v="2027-11-01T00:00:00"/>
    <d v="2028-02-01T00:00:00"/>
    <n v="3.0666666666666669"/>
    <n v="94.466666666666669"/>
    <d v="2022-04-29T00:00:00"/>
    <m/>
    <m/>
    <d v="2028-06-03T00:00:00"/>
    <m/>
    <d v="2027-12-01T00:00:00"/>
    <x v="91"/>
    <x v="8"/>
    <n v="3.0333333333333332"/>
    <m/>
    <n v="0"/>
    <m/>
    <m/>
    <n v="0"/>
    <m/>
    <m/>
    <m/>
    <e v="#DIV/0!"/>
    <m/>
    <m/>
    <m/>
    <m/>
    <d v="2022-04-29T00:00:00"/>
    <m/>
    <m/>
    <m/>
    <m/>
    <m/>
    <m/>
    <d v="2029-02-01T00:00:00"/>
    <m/>
    <m/>
    <m/>
    <m/>
    <m/>
    <m/>
    <m/>
    <m/>
    <m/>
    <m/>
    <m/>
    <m/>
    <m/>
    <m/>
    <m/>
    <n v="0"/>
    <n v="0"/>
    <n v="0"/>
    <n v="0"/>
    <n v="0"/>
    <e v="#REF!"/>
    <m/>
    <m/>
    <n v="0"/>
    <n v="0"/>
    <m/>
    <m/>
    <n v="0"/>
    <m/>
    <m/>
    <m/>
    <e v="#DIV/0!"/>
    <m/>
    <m/>
    <m/>
    <n v="0"/>
    <n v="0"/>
    <m/>
    <m/>
    <e v="#REF!"/>
    <m/>
    <n v="0"/>
    <e v="#DIV/0!"/>
    <m/>
    <m/>
    <n v="0"/>
    <m/>
    <e v="#DIV/0!"/>
    <n v="0"/>
    <n v="0"/>
    <e v="#DIV/0!"/>
    <m/>
    <n v="0"/>
    <e v="#DIV/0!"/>
    <m/>
    <m/>
    <m/>
    <m/>
    <n v="0"/>
    <m/>
    <m/>
    <m/>
    <m/>
    <m/>
    <m/>
    <n v="0"/>
    <m/>
  </r>
  <r>
    <s v="Arizona"/>
    <x v="2"/>
    <x v="2"/>
    <x v="11"/>
    <m/>
    <m/>
    <m/>
    <x v="9"/>
    <m/>
    <s v="CX 759 p / 191"/>
    <s v="Maisons de ville- assainissement individuel ? Dde de participation communale : CASUD n'accepte pas le principe de rétrocession d'une microstation, nécessaire à la densification et à l'équilibre financier du projet"/>
    <m/>
    <m/>
    <m/>
    <n v="12700"/>
    <n v="787400"/>
    <m/>
    <n v="13123.333333333334"/>
    <n v="62"/>
    <n v="0"/>
    <e v="#DIV/0!"/>
    <n v="0"/>
    <n v="211.66666666666666"/>
    <m/>
    <n v="47.244094488188978"/>
    <s v="Modif PLU"/>
    <m/>
    <m/>
    <x v="0"/>
    <n v="60"/>
    <n v="60"/>
    <m/>
    <n v="60"/>
    <m/>
    <m/>
    <m/>
    <m/>
    <n v="0"/>
    <n v="0"/>
    <m/>
    <m/>
    <m/>
    <m/>
    <m/>
    <m/>
    <m/>
    <m/>
    <m/>
    <m/>
    <m/>
    <m/>
    <m/>
    <m/>
    <m/>
    <m/>
    <m/>
    <m/>
    <m/>
    <m/>
    <m/>
    <m/>
    <m/>
    <m/>
    <m/>
    <n v="0"/>
    <s v="x"/>
    <m/>
    <m/>
    <n v="0"/>
    <m/>
    <m/>
    <m/>
    <m/>
    <d v="1901-12-31T00:00:00"/>
    <m/>
    <s v="oui"/>
    <n v="-1537.1"/>
    <n v="0"/>
    <n v="0"/>
    <m/>
    <m/>
    <m/>
    <s v="0"/>
    <m/>
    <m/>
    <s v="0"/>
    <m/>
    <m/>
    <s v="0"/>
    <m/>
    <m/>
    <s v="0"/>
    <m/>
    <m/>
    <s v="0"/>
    <m/>
    <m/>
    <m/>
    <m/>
    <m/>
    <m/>
    <x v="81"/>
    <x v="7"/>
    <n v="1503.6"/>
    <s v="0"/>
    <n v="53"/>
    <n v="56"/>
    <m/>
    <d v="2020-04-29T00:00:00"/>
    <s v="0"/>
    <m/>
    <d v="2020-04-29T00:00:00"/>
    <s v="0"/>
    <m/>
    <d v="2020-04-29T00:00:00"/>
    <s v="0"/>
    <d v="2019-03-29T00:00:00"/>
    <d v="2020-04-29T00:00:00"/>
    <n v="397"/>
    <m/>
    <m/>
    <s v="0"/>
    <m/>
    <d v="2020-04-29T00:00:00"/>
    <s v="0"/>
    <d v="2019-06-14T00:00:00"/>
    <d v="2020-04-29T00:00:00"/>
    <n v="320"/>
    <m/>
    <m/>
    <m/>
    <d v="2027-12-01T00:00:00"/>
    <d v="2028-03-01T00:00:00"/>
    <n v="3.0333333333333332"/>
    <n v="95.433333333333337"/>
    <d v="2022-04-29T00:00:00"/>
    <m/>
    <m/>
    <d v="2028-07-03T00:00:00"/>
    <m/>
    <d v="2028-01-01T00:00:00"/>
    <x v="92"/>
    <x v="8"/>
    <n v="3.0333333333333332"/>
    <m/>
    <n v="0"/>
    <m/>
    <m/>
    <n v="0"/>
    <m/>
    <m/>
    <m/>
    <e v="#DIV/0!"/>
    <m/>
    <m/>
    <m/>
    <m/>
    <d v="2022-04-29T00:00:00"/>
    <m/>
    <m/>
    <m/>
    <m/>
    <m/>
    <m/>
    <d v="2029-03-01T00:00:00"/>
    <m/>
    <m/>
    <m/>
    <m/>
    <m/>
    <m/>
    <m/>
    <m/>
    <m/>
    <m/>
    <m/>
    <m/>
    <m/>
    <m/>
    <m/>
    <n v="0"/>
    <n v="0"/>
    <n v="0"/>
    <n v="0"/>
    <e v="#DIV/0!"/>
    <e v="#REF!"/>
    <m/>
    <m/>
    <n v="0"/>
    <n v="0"/>
    <m/>
    <m/>
    <n v="0"/>
    <m/>
    <m/>
    <m/>
    <e v="#DIV/0!"/>
    <m/>
    <m/>
    <m/>
    <n v="0"/>
    <n v="0"/>
    <m/>
    <m/>
    <e v="#REF!"/>
    <m/>
    <n v="0"/>
    <e v="#DIV/0!"/>
    <m/>
    <m/>
    <n v="0"/>
    <m/>
    <e v="#DIV/0!"/>
    <n v="0"/>
    <n v="0"/>
    <e v="#DIV/0!"/>
    <m/>
    <n v="0"/>
    <e v="#DIV/0!"/>
    <m/>
    <m/>
    <m/>
    <m/>
    <n v="0"/>
    <m/>
    <m/>
    <m/>
    <m/>
    <m/>
    <m/>
    <n v="0"/>
    <m/>
  </r>
  <r>
    <s v="Chemin Dardanelles"/>
    <x v="4"/>
    <x v="2"/>
    <x v="11"/>
    <m/>
    <m/>
    <m/>
    <x v="5"/>
    <m/>
    <s v="BE 004,005,393,394,339"/>
    <s v="Demande Mairie 2AU au futur PLU. Projet d'ensemble équipements + lgts"/>
    <m/>
    <m/>
    <m/>
    <n v="18000"/>
    <m/>
    <m/>
    <n v="0"/>
    <n v="0"/>
    <n v="0"/>
    <e v="#DIV/0!"/>
    <n v="0"/>
    <n v="400"/>
    <m/>
    <n v="25"/>
    <s v="Modif PLU"/>
    <m/>
    <m/>
    <x v="0"/>
    <n v="45"/>
    <n v="45"/>
    <m/>
    <n v="45"/>
    <m/>
    <m/>
    <m/>
    <m/>
    <n v="0"/>
    <n v="0"/>
    <m/>
    <m/>
    <m/>
    <m/>
    <m/>
    <m/>
    <m/>
    <m/>
    <m/>
    <m/>
    <m/>
    <m/>
    <m/>
    <m/>
    <m/>
    <m/>
    <m/>
    <m/>
    <m/>
    <m/>
    <m/>
    <m/>
    <m/>
    <m/>
    <m/>
    <n v="0"/>
    <s v="x"/>
    <m/>
    <m/>
    <n v="0"/>
    <m/>
    <m/>
    <m/>
    <m/>
    <d v="1901-12-31T00:00:00"/>
    <m/>
    <s v="oui"/>
    <n v="-1538.1333333333334"/>
    <n v="0"/>
    <n v="0"/>
    <m/>
    <m/>
    <m/>
    <s v="0"/>
    <m/>
    <m/>
    <s v="0"/>
    <m/>
    <m/>
    <s v="0"/>
    <m/>
    <m/>
    <s v="0"/>
    <m/>
    <m/>
    <s v="0"/>
    <m/>
    <m/>
    <m/>
    <m/>
    <m/>
    <m/>
    <x v="23"/>
    <x v="7"/>
    <n v="1503.6333333333334"/>
    <s v="0"/>
    <n v="54"/>
    <n v="57"/>
    <m/>
    <d v="2020-04-29T00:00:00"/>
    <s v="0"/>
    <m/>
    <d v="2020-04-29T00:00:00"/>
    <s v="0"/>
    <m/>
    <d v="2020-04-29T00:00:00"/>
    <s v="0"/>
    <d v="2019-03-30T00:00:00"/>
    <d v="2020-04-29T00:00:00"/>
    <n v="396"/>
    <m/>
    <m/>
    <s v="0"/>
    <m/>
    <d v="2020-04-29T00:00:00"/>
    <s v="0"/>
    <d v="2019-06-15T00:00:00"/>
    <d v="2020-04-29T00:00:00"/>
    <n v="319"/>
    <m/>
    <m/>
    <m/>
    <d v="2028-01-02T00:00:00"/>
    <d v="2028-04-02T00:00:00"/>
    <n v="3.0333333333333332"/>
    <n v="96.5"/>
    <d v="2022-04-29T00:00:00"/>
    <m/>
    <m/>
    <d v="2028-08-04T00:00:00"/>
    <m/>
    <d v="2028-02-02T00:00:00"/>
    <x v="93"/>
    <x v="8"/>
    <n v="3"/>
    <m/>
    <n v="0"/>
    <m/>
    <m/>
    <m/>
    <m/>
    <m/>
    <m/>
    <e v="#DIV/0!"/>
    <m/>
    <m/>
    <m/>
    <m/>
    <d v="2022-04-29T00:00:00"/>
    <m/>
    <m/>
    <m/>
    <m/>
    <m/>
    <m/>
    <d v="2029-04-02T00:00:00"/>
    <m/>
    <m/>
    <m/>
    <m/>
    <m/>
    <m/>
    <m/>
    <m/>
    <m/>
    <m/>
    <m/>
    <m/>
    <m/>
    <m/>
    <m/>
    <n v="0"/>
    <n v="0"/>
    <n v="0"/>
    <n v="0"/>
    <e v="#DIV/0!"/>
    <e v="#REF!"/>
    <m/>
    <m/>
    <m/>
    <n v="0"/>
    <m/>
    <m/>
    <n v="0"/>
    <m/>
    <m/>
    <m/>
    <e v="#DIV/0!"/>
    <m/>
    <m/>
    <m/>
    <n v="0"/>
    <n v="0"/>
    <m/>
    <m/>
    <e v="#REF!"/>
    <m/>
    <n v="0"/>
    <e v="#DIV/0!"/>
    <m/>
    <m/>
    <m/>
    <m/>
    <e v="#DIV/0!"/>
    <n v="0"/>
    <n v="0"/>
    <e v="#DIV/0!"/>
    <m/>
    <n v="0"/>
    <e v="#DIV/0!"/>
    <m/>
    <m/>
    <m/>
    <m/>
    <n v="0"/>
    <m/>
    <m/>
    <m/>
    <m/>
    <m/>
    <m/>
    <n v="0"/>
    <m/>
  </r>
  <r>
    <s v="VEFA Maurice Lebon"/>
    <x v="4"/>
    <x v="2"/>
    <x v="3"/>
    <s v="PRLC 0163"/>
    <s v="FHO"/>
    <s v="VAF"/>
    <x v="2"/>
    <m/>
    <m/>
    <m/>
    <m/>
    <s v="BARET/GILLOT"/>
    <m/>
    <n v="3038"/>
    <n v="690000"/>
    <n v="690000"/>
    <n v="12545.454545454546"/>
    <n v="227.12310730743911"/>
    <n v="227.12310730743911"/>
    <n v="213.33828030794919"/>
    <n v="12545.454545454546"/>
    <n v="55.236363636363635"/>
    <m/>
    <n v="181.04015799868336"/>
    <s v="UB"/>
    <m/>
    <m/>
    <x v="0"/>
    <n v="55"/>
    <n v="55"/>
    <m/>
    <n v="55"/>
    <m/>
    <m/>
    <n v="3155.3"/>
    <n v="3234.2999999999997"/>
    <n v="57.369090909090914"/>
    <n v="58.805454545454538"/>
    <n v="5.93"/>
    <n v="5.78"/>
    <n v="340.06"/>
    <m/>
    <n v="1"/>
    <m/>
    <m/>
    <m/>
    <m/>
    <n v="0"/>
    <n v="0"/>
    <n v="3"/>
    <s v="collectif"/>
    <s v="non"/>
    <n v="6373285"/>
    <n v="2019.8665737013912"/>
    <n v="1970.5299446557217"/>
    <n v="115877.90909090909"/>
    <s v="17/02/2014_x000a_09/10/14"/>
    <m/>
    <m/>
    <m/>
    <d v="2015-03-30T00:00:00"/>
    <d v="2015-11-12T00:00:00"/>
    <m/>
    <n v="7.5666666666666664"/>
    <m/>
    <d v="2016-11-23T00:00:00"/>
    <d v="2016-12-15T00:00:00"/>
    <n v="0.73333333333333328"/>
    <n v="58354"/>
    <d v="2017-03-11T00:00:00"/>
    <d v="2016-12-23T00:00:00"/>
    <d v="2017-04-01T00:00:00"/>
    <d v="2019-04-01T00:00:00"/>
    <n v="105402"/>
    <s v="oui"/>
    <n v="-2.7333333333333334"/>
    <s v="0"/>
    <n v="105402"/>
    <m/>
    <m/>
    <m/>
    <s v="0"/>
    <d v="2015-02-06T00:00:00"/>
    <d v="2014-12-09T00:00:00"/>
    <n v="-59"/>
    <m/>
    <m/>
    <s v="0"/>
    <m/>
    <m/>
    <s v="0"/>
    <m/>
    <m/>
    <s v="0"/>
    <m/>
    <m/>
    <m/>
    <m/>
    <s v="0"/>
    <d v="2017-01-06T00:00:00"/>
    <x v="82"/>
    <x v="3"/>
    <n v="14.9"/>
    <n v="26"/>
    <n v="22"/>
    <n v="24"/>
    <d v="2017-03-30T00:00:00"/>
    <d v="2017-03-13T00:00:00"/>
    <n v="-17"/>
    <d v="2017-07-30T00:00:00"/>
    <d v="2017-06-09T00:00:00"/>
    <n v="-51"/>
    <m/>
    <d v="2017-09-18T00:00:00"/>
    <s v="0"/>
    <d v="2017-10-30T00:00:00"/>
    <d v="2018-08-28T00:00:00"/>
    <n v="302"/>
    <d v="2017-10-30T00:00:00"/>
    <d v="2018-08-15T00:00:00"/>
    <n v="289"/>
    <d v="2018-02-28T00:00:00"/>
    <d v="2018-09-07T00:00:00"/>
    <n v="191"/>
    <d v="2018-12-31T00:00:00"/>
    <d v="2019-06-05T00:00:00"/>
    <n v="156"/>
    <m/>
    <m/>
    <m/>
    <d v="2018-12-01T00:00:00"/>
    <d v="2019-02-28T00:00:00"/>
    <n v="2.9666666666666668"/>
    <n v="0"/>
    <d v="2019-06-09T00:00:00"/>
    <d v="2019-04-23T00:00:00"/>
    <d v="2018-10-19T00:00:00"/>
    <d v="2019-06-05T00:00:00"/>
    <d v="2019-06-10T00:00:00"/>
    <d v="2019-01-01T00:00:00"/>
    <x v="94"/>
    <x v="2"/>
    <n v="5.7333333333333334"/>
    <n v="19421.333333333332"/>
    <n v="111348.97777777778"/>
    <m/>
    <n v="0"/>
    <n v="0"/>
    <n v="0"/>
    <m/>
    <n v="0"/>
    <n v="0"/>
    <s v="FHO"/>
    <m/>
    <s v="1 MOIS GILETS JAUNES_x000a_1 MOIS = MARGE DE SECURITE_x000a_pb lot charpente_x000a_pb lot électricité"/>
    <m/>
    <d v="2019-06-09T00:00:00"/>
    <s v="ok"/>
    <m/>
    <m/>
    <m/>
    <d v="2019-07-17T00:00:00"/>
    <s v="promoteur"/>
    <d v="2020-02-28T00:00:00"/>
    <m/>
    <m/>
    <m/>
    <m/>
    <m/>
    <m/>
    <m/>
    <m/>
    <m/>
    <m/>
    <d v="2019-11-04T00:00:00"/>
    <m/>
    <m/>
    <m/>
    <m/>
    <n v="6893824"/>
    <n v="6893824"/>
    <n v="6893824"/>
    <n v="1100000"/>
    <n v="2131.4732708777792"/>
    <n v="125342.25454545455"/>
    <n v="1928374"/>
    <m/>
    <n v="35061.345454545452"/>
    <n v="3865450"/>
    <n v="735184"/>
    <n v="3130266"/>
    <n v="70280.909090909088"/>
    <m/>
    <n v="1100000"/>
    <n v="0"/>
    <n v="0.15956311040142598"/>
    <m/>
    <m/>
    <n v="0"/>
    <n v="20000"/>
    <n v="55061.345454545452"/>
    <n v="0"/>
    <n v="0"/>
    <n v="55061.345454545452"/>
    <n v="0"/>
    <n v="55061.345454545452"/>
    <n v="0.43928797718073453"/>
    <n v="0"/>
    <m/>
    <n v="0"/>
    <n v="5868941.3073500004"/>
    <n v="0.85133320887652486"/>
    <n v="1024882.6926499996"/>
    <n v="924058.69264999963"/>
    <n v="0.98537473541535148"/>
    <n v="451296.94000000006"/>
    <n v="648703.05999999994"/>
    <n v="0.41026994545454554"/>
    <s v="- 100 824 frais notaire sortie défisc"/>
    <m/>
    <m/>
    <m/>
    <n v="0"/>
    <m/>
    <m/>
    <m/>
    <m/>
    <m/>
    <m/>
    <n v="0"/>
    <m/>
  </r>
  <r>
    <s v="Chemin des Chardons"/>
    <x v="4"/>
    <x v="2"/>
    <x v="11"/>
    <m/>
    <m/>
    <m/>
    <x v="5"/>
    <m/>
    <s v="AV 94, 95 …"/>
    <s v="Demande Mairie 2AU au futur PLU. Projet à développer sur le long terme selon la Mairie"/>
    <m/>
    <m/>
    <m/>
    <n v="30000"/>
    <m/>
    <m/>
    <n v="0"/>
    <n v="0"/>
    <n v="0"/>
    <e v="#DIV/0!"/>
    <n v="0"/>
    <n v="666.66666666666663"/>
    <m/>
    <n v="15"/>
    <s v="Modif PLU"/>
    <m/>
    <m/>
    <x v="0"/>
    <n v="45"/>
    <n v="45"/>
    <m/>
    <n v="45"/>
    <m/>
    <m/>
    <m/>
    <m/>
    <n v="0"/>
    <n v="0"/>
    <m/>
    <m/>
    <m/>
    <m/>
    <m/>
    <m/>
    <m/>
    <m/>
    <m/>
    <m/>
    <m/>
    <m/>
    <m/>
    <m/>
    <m/>
    <m/>
    <m/>
    <m/>
    <m/>
    <m/>
    <m/>
    <m/>
    <m/>
    <m/>
    <m/>
    <n v="0"/>
    <s v="x"/>
    <m/>
    <m/>
    <n v="0"/>
    <m/>
    <m/>
    <m/>
    <m/>
    <d v="1901-12-31T00:00:00"/>
    <m/>
    <s v="oui"/>
    <n v="-1539.2"/>
    <n v="0"/>
    <n v="0"/>
    <m/>
    <m/>
    <m/>
    <s v="0"/>
    <m/>
    <m/>
    <s v="0"/>
    <m/>
    <m/>
    <s v="0"/>
    <m/>
    <m/>
    <s v="0"/>
    <m/>
    <m/>
    <s v="0"/>
    <m/>
    <m/>
    <m/>
    <m/>
    <m/>
    <m/>
    <x v="83"/>
    <x v="7"/>
    <n v="1503.6666666666667"/>
    <s v="0"/>
    <n v="55"/>
    <n v="58"/>
    <m/>
    <d v="2020-04-29T00:00:00"/>
    <s v="0"/>
    <m/>
    <d v="2020-04-29T00:00:00"/>
    <s v="0"/>
    <m/>
    <d v="2020-04-29T00:00:00"/>
    <s v="0"/>
    <d v="2019-03-31T00:00:00"/>
    <d v="2020-04-29T00:00:00"/>
    <n v="395"/>
    <m/>
    <m/>
    <s v="0"/>
    <m/>
    <d v="2020-04-29T00:00:00"/>
    <s v="0"/>
    <d v="2019-06-16T00:00:00"/>
    <d v="2020-04-29T00:00:00"/>
    <n v="318"/>
    <m/>
    <m/>
    <m/>
    <d v="2028-02-03T00:00:00"/>
    <d v="2028-05-03T00:00:00"/>
    <n v="3"/>
    <n v="97.533333333333331"/>
    <d v="2022-04-29T00:00:00"/>
    <m/>
    <m/>
    <d v="2028-09-05T00:00:00"/>
    <m/>
    <d v="2028-03-03T00:00:00"/>
    <x v="95"/>
    <x v="8"/>
    <n v="3.0666666666666669"/>
    <m/>
    <n v="0"/>
    <m/>
    <m/>
    <m/>
    <m/>
    <m/>
    <m/>
    <e v="#DIV/0!"/>
    <m/>
    <m/>
    <m/>
    <m/>
    <d v="2022-04-29T00:00:00"/>
    <m/>
    <m/>
    <m/>
    <m/>
    <m/>
    <m/>
    <d v="2029-05-03T00:00:00"/>
    <m/>
    <m/>
    <m/>
    <m/>
    <m/>
    <m/>
    <m/>
    <m/>
    <m/>
    <m/>
    <m/>
    <m/>
    <m/>
    <m/>
    <m/>
    <n v="0"/>
    <n v="0"/>
    <n v="0"/>
    <n v="0"/>
    <e v="#DIV/0!"/>
    <e v="#REF!"/>
    <m/>
    <m/>
    <m/>
    <n v="0"/>
    <m/>
    <m/>
    <n v="0"/>
    <m/>
    <m/>
    <m/>
    <e v="#DIV/0!"/>
    <m/>
    <m/>
    <m/>
    <n v="0"/>
    <n v="0"/>
    <m/>
    <m/>
    <e v="#REF!"/>
    <m/>
    <n v="0"/>
    <e v="#DIV/0!"/>
    <m/>
    <m/>
    <m/>
    <m/>
    <e v="#DIV/0!"/>
    <n v="0"/>
    <n v="0"/>
    <e v="#DIV/0!"/>
    <m/>
    <n v="0"/>
    <e v="#DIV/0!"/>
    <m/>
    <m/>
    <m/>
    <m/>
    <n v="0"/>
    <m/>
    <m/>
    <m/>
    <m/>
    <m/>
    <m/>
    <n v="0"/>
    <m/>
  </r>
  <r>
    <s v="Eglise Pharmacie"/>
    <x v="4"/>
    <x v="2"/>
    <x v="11"/>
    <m/>
    <m/>
    <m/>
    <x v="5"/>
    <m/>
    <s v="AX 193 / 236"/>
    <s v="Opération RPA"/>
    <m/>
    <m/>
    <m/>
    <n v="4900"/>
    <m/>
    <m/>
    <n v="0"/>
    <n v="0"/>
    <n v="0"/>
    <e v="#DIV/0!"/>
    <n v="0"/>
    <n v="163.33333333333334"/>
    <m/>
    <n v="61.224489795918366"/>
    <m/>
    <m/>
    <m/>
    <x v="0"/>
    <n v="30"/>
    <n v="30"/>
    <m/>
    <n v="30"/>
    <m/>
    <m/>
    <m/>
    <m/>
    <n v="0"/>
    <n v="0"/>
    <m/>
    <m/>
    <m/>
    <m/>
    <m/>
    <m/>
    <m/>
    <m/>
    <m/>
    <m/>
    <m/>
    <m/>
    <m/>
    <m/>
    <m/>
    <m/>
    <m/>
    <m/>
    <m/>
    <m/>
    <m/>
    <m/>
    <m/>
    <m/>
    <m/>
    <n v="0"/>
    <s v="x"/>
    <m/>
    <m/>
    <n v="0"/>
    <m/>
    <m/>
    <m/>
    <m/>
    <d v="1901-12-31T00:00:00"/>
    <m/>
    <s v="oui"/>
    <n v="-1540.2333333333333"/>
    <n v="0"/>
    <n v="0"/>
    <m/>
    <m/>
    <m/>
    <s v="0"/>
    <m/>
    <m/>
    <s v="0"/>
    <m/>
    <m/>
    <s v="0"/>
    <m/>
    <m/>
    <s v="0"/>
    <m/>
    <m/>
    <s v="0"/>
    <m/>
    <m/>
    <m/>
    <m/>
    <m/>
    <m/>
    <x v="84"/>
    <x v="7"/>
    <n v="1503.7"/>
    <s v="0"/>
    <n v="56"/>
    <n v="59"/>
    <m/>
    <d v="2020-04-29T00:00:00"/>
    <s v="0"/>
    <m/>
    <d v="2020-04-29T00:00:00"/>
    <s v="0"/>
    <m/>
    <d v="2020-04-29T00:00:00"/>
    <s v="0"/>
    <d v="2019-04-01T00:00:00"/>
    <d v="2020-04-29T00:00:00"/>
    <n v="394"/>
    <m/>
    <m/>
    <s v="0"/>
    <m/>
    <d v="2020-04-29T00:00:00"/>
    <s v="0"/>
    <d v="2019-06-17T00:00:00"/>
    <d v="2020-04-29T00:00:00"/>
    <n v="317"/>
    <m/>
    <m/>
    <m/>
    <d v="2028-03-04T00:00:00"/>
    <d v="2028-06-04T00:00:00"/>
    <n v="3.0666666666666669"/>
    <n v="98.6"/>
    <d v="2022-04-29T00:00:00"/>
    <m/>
    <m/>
    <d v="2028-10-06T00:00:00"/>
    <m/>
    <d v="2028-04-04T00:00:00"/>
    <x v="96"/>
    <x v="8"/>
    <n v="3.0333333333333332"/>
    <m/>
    <n v="0"/>
    <m/>
    <m/>
    <m/>
    <m/>
    <m/>
    <m/>
    <e v="#DIV/0!"/>
    <m/>
    <m/>
    <m/>
    <m/>
    <d v="2022-04-29T00:00:00"/>
    <m/>
    <m/>
    <m/>
    <m/>
    <m/>
    <m/>
    <d v="2029-06-04T00:00:00"/>
    <m/>
    <m/>
    <m/>
    <m/>
    <m/>
    <m/>
    <m/>
    <m/>
    <m/>
    <m/>
    <m/>
    <m/>
    <m/>
    <m/>
    <m/>
    <n v="0"/>
    <n v="0"/>
    <n v="0"/>
    <n v="0"/>
    <e v="#DIV/0!"/>
    <e v="#REF!"/>
    <m/>
    <m/>
    <m/>
    <n v="0"/>
    <m/>
    <m/>
    <n v="0"/>
    <m/>
    <m/>
    <m/>
    <e v="#DIV/0!"/>
    <m/>
    <m/>
    <m/>
    <n v="0"/>
    <n v="0"/>
    <m/>
    <m/>
    <e v="#REF!"/>
    <m/>
    <n v="0"/>
    <e v="#DIV/0!"/>
    <m/>
    <m/>
    <m/>
    <m/>
    <e v="#DIV/0!"/>
    <n v="0"/>
    <n v="0"/>
    <e v="#DIV/0!"/>
    <m/>
    <n v="0"/>
    <e v="#DIV/0!"/>
    <m/>
    <m/>
    <m/>
    <m/>
    <n v="0"/>
    <m/>
    <m/>
    <m/>
    <m/>
    <m/>
    <m/>
    <n v="0"/>
    <m/>
  </r>
  <r>
    <s v="Eglise Pharmacie 2"/>
    <x v="4"/>
    <x v="2"/>
    <x v="11"/>
    <m/>
    <m/>
    <m/>
    <x v="5"/>
    <m/>
    <s v="AX 570"/>
    <s v="modif PLU"/>
    <m/>
    <m/>
    <m/>
    <n v="5900"/>
    <m/>
    <m/>
    <n v="0"/>
    <n v="0"/>
    <n v="0"/>
    <e v="#DIV/0!"/>
    <n v="0"/>
    <n v="393.33333333333331"/>
    <m/>
    <n v="25.423728813559322"/>
    <s v="NAU ==&gt; 1 AU"/>
    <m/>
    <m/>
    <x v="0"/>
    <n v="15"/>
    <n v="15"/>
    <m/>
    <n v="15"/>
    <m/>
    <m/>
    <m/>
    <m/>
    <n v="0"/>
    <n v="0"/>
    <m/>
    <m/>
    <m/>
    <m/>
    <m/>
    <m/>
    <m/>
    <m/>
    <m/>
    <m/>
    <m/>
    <m/>
    <m/>
    <m/>
    <m/>
    <m/>
    <m/>
    <m/>
    <m/>
    <m/>
    <m/>
    <m/>
    <m/>
    <m/>
    <m/>
    <n v="0"/>
    <s v="x"/>
    <m/>
    <m/>
    <n v="0"/>
    <m/>
    <m/>
    <m/>
    <m/>
    <d v="1901-12-31T00:00:00"/>
    <m/>
    <s v="oui"/>
    <n v="-1541.3"/>
    <n v="0"/>
    <n v="0"/>
    <m/>
    <m/>
    <m/>
    <s v="0"/>
    <m/>
    <m/>
    <s v="0"/>
    <m/>
    <m/>
    <s v="0"/>
    <m/>
    <m/>
    <s v="0"/>
    <m/>
    <m/>
    <s v="0"/>
    <m/>
    <m/>
    <m/>
    <m/>
    <m/>
    <m/>
    <x v="85"/>
    <x v="7"/>
    <n v="1503.7333333333333"/>
    <s v="0"/>
    <n v="57"/>
    <n v="60"/>
    <m/>
    <d v="2020-04-29T00:00:00"/>
    <s v="0"/>
    <m/>
    <d v="2020-04-29T00:00:00"/>
    <s v="0"/>
    <m/>
    <d v="2020-04-29T00:00:00"/>
    <s v="0"/>
    <d v="2019-04-02T00:00:00"/>
    <d v="2020-04-29T00:00:00"/>
    <n v="393"/>
    <m/>
    <m/>
    <s v="0"/>
    <m/>
    <d v="2020-04-29T00:00:00"/>
    <s v="0"/>
    <d v="2019-06-18T00:00:00"/>
    <d v="2020-04-29T00:00:00"/>
    <n v="316"/>
    <m/>
    <m/>
    <m/>
    <d v="2028-04-05T00:00:00"/>
    <d v="2028-07-05T00:00:00"/>
    <n v="3.0333333333333332"/>
    <n v="99.63333333333334"/>
    <d v="2022-04-29T00:00:00"/>
    <m/>
    <m/>
    <d v="2028-11-07T00:00:00"/>
    <m/>
    <d v="2028-05-05T00:00:00"/>
    <x v="97"/>
    <x v="8"/>
    <n v="3.0666666666666669"/>
    <m/>
    <n v="0"/>
    <m/>
    <m/>
    <m/>
    <m/>
    <m/>
    <m/>
    <e v="#DIV/0!"/>
    <m/>
    <m/>
    <m/>
    <m/>
    <d v="2022-04-29T00:00:00"/>
    <m/>
    <m/>
    <m/>
    <m/>
    <m/>
    <m/>
    <d v="2029-07-05T00:00:00"/>
    <m/>
    <m/>
    <m/>
    <m/>
    <m/>
    <m/>
    <m/>
    <m/>
    <m/>
    <m/>
    <m/>
    <m/>
    <m/>
    <m/>
    <m/>
    <n v="0"/>
    <n v="0"/>
    <n v="0"/>
    <n v="0"/>
    <e v="#DIV/0!"/>
    <e v="#REF!"/>
    <m/>
    <m/>
    <m/>
    <n v="0"/>
    <m/>
    <m/>
    <n v="0"/>
    <m/>
    <m/>
    <m/>
    <e v="#DIV/0!"/>
    <m/>
    <m/>
    <m/>
    <n v="0"/>
    <n v="0"/>
    <m/>
    <m/>
    <e v="#REF!"/>
    <m/>
    <n v="0"/>
    <e v="#DIV/0!"/>
    <m/>
    <m/>
    <m/>
    <m/>
    <e v="#DIV/0!"/>
    <n v="0"/>
    <n v="0"/>
    <e v="#DIV/0!"/>
    <m/>
    <n v="0"/>
    <e v="#DIV/0!"/>
    <m/>
    <m/>
    <m/>
    <m/>
    <n v="0"/>
    <m/>
    <m/>
    <m/>
    <m/>
    <m/>
    <m/>
    <n v="0"/>
    <m/>
  </r>
  <r>
    <s v="Emplacement réservé Plateau Vincendo"/>
    <x v="4"/>
    <x v="2"/>
    <x v="11"/>
    <m/>
    <m/>
    <m/>
    <x v="5"/>
    <m/>
    <s v="CT 325 / CS 520,521"/>
    <s v="CT 325 en zone N / CS 520 en Zone U_x000a_opération globale conditionnée à la réalisation d'un rond point sur la RN ==&gt; Mairie prend contact avec la Région"/>
    <m/>
    <m/>
    <m/>
    <n v="5300"/>
    <m/>
    <m/>
    <n v="0"/>
    <n v="0"/>
    <n v="0"/>
    <e v="#DIV/0!"/>
    <n v="0"/>
    <n v="151.42857142857142"/>
    <m/>
    <n v="66.037735849056602"/>
    <m/>
    <m/>
    <m/>
    <x v="0"/>
    <n v="35"/>
    <n v="35"/>
    <m/>
    <n v="35"/>
    <m/>
    <m/>
    <m/>
    <m/>
    <n v="0"/>
    <n v="0"/>
    <m/>
    <m/>
    <m/>
    <m/>
    <m/>
    <m/>
    <m/>
    <m/>
    <m/>
    <m/>
    <m/>
    <m/>
    <m/>
    <m/>
    <m/>
    <m/>
    <m/>
    <m/>
    <m/>
    <m/>
    <m/>
    <m/>
    <m/>
    <m/>
    <m/>
    <n v="0"/>
    <s v="x"/>
    <m/>
    <m/>
    <n v="0"/>
    <m/>
    <m/>
    <m/>
    <m/>
    <d v="1901-12-31T00:00:00"/>
    <m/>
    <s v="oui"/>
    <n v="-1542.4"/>
    <n v="0"/>
    <n v="0"/>
    <m/>
    <m/>
    <m/>
    <s v="0"/>
    <m/>
    <m/>
    <s v="0"/>
    <m/>
    <m/>
    <s v="0"/>
    <m/>
    <m/>
    <s v="0"/>
    <m/>
    <m/>
    <s v="0"/>
    <m/>
    <m/>
    <m/>
    <m/>
    <m/>
    <m/>
    <x v="86"/>
    <x v="7"/>
    <n v="1503.8"/>
    <s v="0"/>
    <n v="58"/>
    <n v="61"/>
    <m/>
    <d v="2020-04-29T00:00:00"/>
    <s v="0"/>
    <m/>
    <d v="2020-04-29T00:00:00"/>
    <s v="0"/>
    <m/>
    <d v="2020-04-29T00:00:00"/>
    <s v="0"/>
    <d v="2019-04-03T00:00:00"/>
    <d v="2020-04-29T00:00:00"/>
    <n v="392"/>
    <m/>
    <m/>
    <s v="0"/>
    <m/>
    <d v="2020-04-29T00:00:00"/>
    <s v="0"/>
    <d v="2019-06-19T00:00:00"/>
    <d v="2020-04-29T00:00:00"/>
    <n v="315"/>
    <m/>
    <m/>
    <m/>
    <d v="2028-05-07T00:00:00"/>
    <d v="2028-08-07T00:00:00"/>
    <n v="3.0666666666666669"/>
    <n v="100.73333333333333"/>
    <d v="2022-04-29T00:00:00"/>
    <m/>
    <m/>
    <d v="2028-12-09T00:00:00"/>
    <m/>
    <d v="2028-06-07T00:00:00"/>
    <x v="98"/>
    <x v="8"/>
    <n v="3.0666666666666669"/>
    <m/>
    <n v="0"/>
    <m/>
    <m/>
    <m/>
    <m/>
    <m/>
    <m/>
    <e v="#DIV/0!"/>
    <m/>
    <m/>
    <m/>
    <m/>
    <d v="2022-04-29T00:00:00"/>
    <m/>
    <m/>
    <m/>
    <m/>
    <m/>
    <m/>
    <d v="2029-08-07T00:00:00"/>
    <m/>
    <m/>
    <m/>
    <m/>
    <m/>
    <m/>
    <m/>
    <m/>
    <m/>
    <m/>
    <m/>
    <m/>
    <m/>
    <m/>
    <m/>
    <n v="0"/>
    <n v="0"/>
    <n v="0"/>
    <n v="0"/>
    <e v="#DIV/0!"/>
    <e v="#REF!"/>
    <m/>
    <m/>
    <m/>
    <n v="0"/>
    <m/>
    <m/>
    <n v="0"/>
    <m/>
    <m/>
    <m/>
    <e v="#DIV/0!"/>
    <m/>
    <m/>
    <m/>
    <n v="0"/>
    <n v="0"/>
    <m/>
    <m/>
    <e v="#REF!"/>
    <m/>
    <n v="0"/>
    <e v="#DIV/0!"/>
    <m/>
    <m/>
    <m/>
    <m/>
    <e v="#DIV/0!"/>
    <n v="0"/>
    <n v="0"/>
    <e v="#DIV/0!"/>
    <m/>
    <n v="0"/>
    <e v="#DIV/0!"/>
    <m/>
    <m/>
    <m/>
    <m/>
    <n v="0"/>
    <m/>
    <m/>
    <m/>
    <m/>
    <m/>
    <m/>
    <n v="0"/>
    <m/>
  </r>
  <r>
    <s v="Terrains TSENG KING et chemin de la Chapelle"/>
    <x v="4"/>
    <x v="2"/>
    <x v="11"/>
    <m/>
    <m/>
    <m/>
    <x v="5"/>
    <m/>
    <s v="AZ 261,178"/>
    <s v="attente PLU_x000a_03/05/18 : Mairie prend contact avec propriétaires"/>
    <m/>
    <m/>
    <m/>
    <n v="8400"/>
    <m/>
    <m/>
    <n v="0"/>
    <n v="0"/>
    <n v="0"/>
    <e v="#DIV/0!"/>
    <n v="0"/>
    <n v="280"/>
    <m/>
    <n v="35.714285714285715"/>
    <s v="NAUD ==&gt; 1AU"/>
    <m/>
    <m/>
    <x v="0"/>
    <n v="30"/>
    <n v="30"/>
    <m/>
    <n v="30"/>
    <m/>
    <m/>
    <m/>
    <m/>
    <n v="0"/>
    <n v="0"/>
    <m/>
    <m/>
    <m/>
    <m/>
    <m/>
    <m/>
    <m/>
    <m/>
    <m/>
    <m/>
    <m/>
    <m/>
    <m/>
    <m/>
    <m/>
    <m/>
    <m/>
    <m/>
    <m/>
    <m/>
    <m/>
    <m/>
    <m/>
    <m/>
    <m/>
    <n v="0"/>
    <s v="x"/>
    <m/>
    <m/>
    <n v="0"/>
    <m/>
    <m/>
    <m/>
    <m/>
    <d v="1901-12-31T00:00:00"/>
    <m/>
    <s v="oui"/>
    <n v="-1543.5333333333333"/>
    <n v="0"/>
    <n v="0"/>
    <m/>
    <m/>
    <m/>
    <s v="0"/>
    <m/>
    <m/>
    <s v="0"/>
    <m/>
    <m/>
    <s v="0"/>
    <m/>
    <m/>
    <s v="0"/>
    <m/>
    <m/>
    <s v="0"/>
    <m/>
    <m/>
    <m/>
    <m/>
    <m/>
    <m/>
    <x v="87"/>
    <x v="7"/>
    <n v="1503.9333333333334"/>
    <s v="0"/>
    <n v="59"/>
    <n v="62"/>
    <m/>
    <d v="2020-04-29T00:00:00"/>
    <s v="0"/>
    <m/>
    <d v="2020-04-29T00:00:00"/>
    <s v="0"/>
    <m/>
    <d v="2020-04-29T00:00:00"/>
    <s v="0"/>
    <d v="2019-04-04T00:00:00"/>
    <d v="2020-04-29T00:00:00"/>
    <n v="391"/>
    <m/>
    <m/>
    <s v="0"/>
    <m/>
    <d v="2020-04-29T00:00:00"/>
    <s v="0"/>
    <d v="2019-06-20T00:00:00"/>
    <d v="2020-04-29T00:00:00"/>
    <n v="314"/>
    <m/>
    <m/>
    <m/>
    <d v="2028-06-11T00:00:00"/>
    <d v="2028-09-11T00:00:00"/>
    <n v="3.0666666666666669"/>
    <n v="101.9"/>
    <d v="2022-04-29T00:00:00"/>
    <m/>
    <m/>
    <d v="2029-01-13T00:00:00"/>
    <m/>
    <d v="2028-07-11T00:00:00"/>
    <x v="99"/>
    <x v="8"/>
    <n v="3.0666666666666669"/>
    <m/>
    <n v="0"/>
    <m/>
    <m/>
    <m/>
    <m/>
    <m/>
    <m/>
    <e v="#DIV/0!"/>
    <m/>
    <m/>
    <m/>
    <m/>
    <d v="2022-04-29T00:00:00"/>
    <m/>
    <m/>
    <m/>
    <m/>
    <m/>
    <m/>
    <d v="2029-09-11T00:00:00"/>
    <m/>
    <m/>
    <m/>
    <m/>
    <m/>
    <m/>
    <m/>
    <m/>
    <m/>
    <m/>
    <m/>
    <m/>
    <m/>
    <m/>
    <m/>
    <n v="0"/>
    <n v="0"/>
    <n v="0"/>
    <n v="0"/>
    <e v="#DIV/0!"/>
    <e v="#REF!"/>
    <m/>
    <m/>
    <m/>
    <n v="0"/>
    <m/>
    <m/>
    <n v="0"/>
    <m/>
    <m/>
    <m/>
    <e v="#DIV/0!"/>
    <m/>
    <m/>
    <m/>
    <n v="0"/>
    <n v="0"/>
    <m/>
    <m/>
    <e v="#REF!"/>
    <m/>
    <n v="0"/>
    <e v="#DIV/0!"/>
    <m/>
    <m/>
    <m/>
    <m/>
    <e v="#DIV/0!"/>
    <n v="0"/>
    <n v="0"/>
    <e v="#DIV/0!"/>
    <m/>
    <n v="0"/>
    <e v="#DIV/0!"/>
    <m/>
    <m/>
    <m/>
    <m/>
    <n v="0"/>
    <m/>
    <m/>
    <m/>
    <m/>
    <m/>
    <m/>
    <n v="0"/>
    <m/>
  </r>
  <r>
    <s v="VINCENDO CAFE"/>
    <x v="4"/>
    <x v="2"/>
    <x v="11"/>
    <m/>
    <m/>
    <m/>
    <x v="5"/>
    <m/>
    <s v="CW 730,731, 732,656, 627,29, 684,1048,1049"/>
    <s v="études d'urba réalisées – présenté à la DEAL._x000a_DEAL ne souhaite pas d’extension urbaine s’il n’y a pas d’assainissement collectif_x000a_DEAL défavorable à un déclassement s’il n’y a pas de STEP mais une nouvelle proposition aurait été faite par la commune à la DEAL_x000a_CW 732 exploitable : qui est le propriétaire ?_x000a_"/>
    <m/>
    <m/>
    <m/>
    <m/>
    <m/>
    <m/>
    <n v="0"/>
    <m/>
    <m/>
    <m/>
    <n v="0"/>
    <m/>
    <m/>
    <e v="#DIV/0!"/>
    <m/>
    <m/>
    <m/>
    <x v="0"/>
    <n v="60"/>
    <n v="60"/>
    <m/>
    <n v="60"/>
    <m/>
    <m/>
    <m/>
    <m/>
    <n v="0"/>
    <n v="0"/>
    <m/>
    <m/>
    <m/>
    <m/>
    <m/>
    <m/>
    <m/>
    <m/>
    <m/>
    <m/>
    <m/>
    <m/>
    <m/>
    <m/>
    <m/>
    <m/>
    <m/>
    <m/>
    <m/>
    <m/>
    <m/>
    <m/>
    <m/>
    <m/>
    <m/>
    <n v="0"/>
    <s v="x"/>
    <m/>
    <m/>
    <n v="0"/>
    <m/>
    <m/>
    <m/>
    <m/>
    <d v="1901-12-31T00:00:00"/>
    <m/>
    <s v="oui"/>
    <n v="-1544.6333333333334"/>
    <n v="0"/>
    <n v="0"/>
    <m/>
    <m/>
    <m/>
    <s v="0"/>
    <m/>
    <m/>
    <s v="0"/>
    <m/>
    <m/>
    <s v="0"/>
    <m/>
    <m/>
    <s v="0"/>
    <m/>
    <m/>
    <s v="0"/>
    <m/>
    <m/>
    <m/>
    <m/>
    <m/>
    <m/>
    <x v="88"/>
    <x v="7"/>
    <n v="1504"/>
    <s v="0"/>
    <n v="60"/>
    <n v="63"/>
    <m/>
    <d v="2020-04-29T00:00:00"/>
    <s v="0"/>
    <m/>
    <d v="2020-04-29T00:00:00"/>
    <s v="0"/>
    <m/>
    <d v="2020-04-29T00:00:00"/>
    <s v="0"/>
    <d v="2019-04-05T00:00:00"/>
    <d v="2020-04-29T00:00:00"/>
    <n v="390"/>
    <m/>
    <m/>
    <s v="0"/>
    <m/>
    <d v="2020-04-29T00:00:00"/>
    <s v="0"/>
    <d v="2019-06-21T00:00:00"/>
    <d v="2020-04-29T00:00:00"/>
    <n v="313"/>
    <m/>
    <m/>
    <m/>
    <d v="2028-07-13T00:00:00"/>
    <d v="2028-10-13T00:00:00"/>
    <n v="3.0666666666666669"/>
    <n v="102.96666666666667"/>
    <d v="2022-04-29T00:00:00"/>
    <m/>
    <m/>
    <d v="2029-02-15T00:00:00"/>
    <m/>
    <d v="2028-08-13T00:00:00"/>
    <x v="100"/>
    <x v="8"/>
    <n v="3.0666666666666669"/>
    <m/>
    <n v="0"/>
    <m/>
    <m/>
    <m/>
    <m/>
    <m/>
    <m/>
    <e v="#DIV/0!"/>
    <m/>
    <m/>
    <m/>
    <m/>
    <d v="2022-04-29T00:00:00"/>
    <m/>
    <m/>
    <m/>
    <m/>
    <m/>
    <m/>
    <d v="2029-10-13T00:00:00"/>
    <m/>
    <m/>
    <m/>
    <m/>
    <m/>
    <m/>
    <m/>
    <m/>
    <m/>
    <m/>
    <m/>
    <m/>
    <m/>
    <m/>
    <m/>
    <n v="0"/>
    <n v="0"/>
    <n v="0"/>
    <n v="0"/>
    <e v="#DIV/0!"/>
    <e v="#REF!"/>
    <m/>
    <m/>
    <m/>
    <n v="0"/>
    <m/>
    <m/>
    <n v="0"/>
    <m/>
    <m/>
    <m/>
    <e v="#DIV/0!"/>
    <m/>
    <m/>
    <m/>
    <n v="0"/>
    <n v="0"/>
    <m/>
    <m/>
    <e v="#REF!"/>
    <m/>
    <n v="0"/>
    <e v="#DIV/0!"/>
    <m/>
    <m/>
    <m/>
    <m/>
    <e v="#DIV/0!"/>
    <n v="0"/>
    <n v="0"/>
    <e v="#DIV/0!"/>
    <m/>
    <n v="0"/>
    <e v="#DIV/0!"/>
    <m/>
    <m/>
    <m/>
    <m/>
    <n v="0"/>
    <m/>
    <m/>
    <m/>
    <m/>
    <m/>
    <m/>
    <n v="0"/>
    <m/>
  </r>
  <r>
    <s v="Josepha Fontaine Tranche 2"/>
    <x v="4"/>
    <x v="2"/>
    <x v="11"/>
    <m/>
    <m/>
    <m/>
    <x v="5"/>
    <m/>
    <s v="AV 651 p"/>
    <s v="Zone A au SAR et hors ZPU. Demande Mairie 2AU au futur PLU"/>
    <m/>
    <m/>
    <m/>
    <n v="4000"/>
    <m/>
    <m/>
    <n v="0"/>
    <n v="0"/>
    <n v="0"/>
    <e v="#DIV/0!"/>
    <n v="0"/>
    <n v="266.66666666666669"/>
    <m/>
    <n v="37.5"/>
    <s v="Modif PLU"/>
    <m/>
    <m/>
    <x v="0"/>
    <n v="15"/>
    <n v="15"/>
    <m/>
    <n v="15"/>
    <m/>
    <m/>
    <m/>
    <m/>
    <n v="0"/>
    <n v="0"/>
    <m/>
    <m/>
    <m/>
    <m/>
    <m/>
    <m/>
    <m/>
    <m/>
    <m/>
    <m/>
    <m/>
    <m/>
    <m/>
    <m/>
    <m/>
    <m/>
    <m/>
    <m/>
    <m/>
    <m/>
    <m/>
    <m/>
    <m/>
    <m/>
    <m/>
    <n v="0"/>
    <s v="x"/>
    <m/>
    <m/>
    <n v="0"/>
    <m/>
    <m/>
    <m/>
    <m/>
    <d v="1901-12-31T00:00:00"/>
    <m/>
    <s v="oui"/>
    <n v="-1546.5"/>
    <n v="0"/>
    <n v="0"/>
    <m/>
    <m/>
    <m/>
    <s v="0"/>
    <m/>
    <m/>
    <s v="0"/>
    <m/>
    <m/>
    <s v="0"/>
    <m/>
    <m/>
    <s v="0"/>
    <m/>
    <m/>
    <s v="0"/>
    <m/>
    <m/>
    <m/>
    <m/>
    <m/>
    <m/>
    <x v="89"/>
    <x v="7"/>
    <n v="1503.8333333333333"/>
    <s v="0"/>
    <n v="62"/>
    <n v="65"/>
    <m/>
    <d v="2020-04-29T00:00:00"/>
    <s v="0"/>
    <m/>
    <d v="2020-04-29T00:00:00"/>
    <s v="0"/>
    <m/>
    <d v="2020-04-29T00:00:00"/>
    <s v="0"/>
    <d v="2019-04-07T00:00:00"/>
    <d v="2020-04-29T00:00:00"/>
    <n v="388"/>
    <m/>
    <m/>
    <s v="0"/>
    <m/>
    <d v="2020-04-29T00:00:00"/>
    <s v="0"/>
    <d v="2019-06-23T00:00:00"/>
    <d v="2020-04-29T00:00:00"/>
    <n v="311"/>
    <m/>
    <m/>
    <m/>
    <d v="2028-09-08T00:00:00"/>
    <d v="2028-12-08T00:00:00"/>
    <n v="3.0333333333333332"/>
    <n v="104.83333333333333"/>
    <d v="2022-04-29T00:00:00"/>
    <m/>
    <m/>
    <d v="2029-04-10T00:00:00"/>
    <m/>
    <d v="2028-10-08T00:00:00"/>
    <x v="101"/>
    <x v="8"/>
    <n v="3.0666666666666669"/>
    <m/>
    <n v="0"/>
    <m/>
    <m/>
    <m/>
    <m/>
    <m/>
    <m/>
    <e v="#DIV/0!"/>
    <m/>
    <m/>
    <m/>
    <m/>
    <d v="2022-04-29T00:00:00"/>
    <m/>
    <m/>
    <m/>
    <m/>
    <m/>
    <m/>
    <d v="2029-12-08T00:00:00"/>
    <m/>
    <m/>
    <m/>
    <m/>
    <m/>
    <m/>
    <m/>
    <m/>
    <m/>
    <m/>
    <m/>
    <m/>
    <m/>
    <m/>
    <m/>
    <n v="0"/>
    <n v="0"/>
    <n v="0"/>
    <n v="0"/>
    <e v="#DIV/0!"/>
    <e v="#REF!"/>
    <m/>
    <m/>
    <m/>
    <n v="0"/>
    <m/>
    <m/>
    <n v="0"/>
    <m/>
    <m/>
    <m/>
    <e v="#DIV/0!"/>
    <m/>
    <m/>
    <m/>
    <n v="0"/>
    <n v="0"/>
    <m/>
    <m/>
    <e v="#REF!"/>
    <m/>
    <n v="0"/>
    <e v="#DIV/0!"/>
    <m/>
    <m/>
    <m/>
    <m/>
    <e v="#DIV/0!"/>
    <n v="0"/>
    <n v="0"/>
    <e v="#DIV/0!"/>
    <m/>
    <n v="0"/>
    <e v="#DIV/0!"/>
    <m/>
    <m/>
    <m/>
    <m/>
    <n v="0"/>
    <m/>
    <m/>
    <m/>
    <m/>
    <m/>
    <m/>
    <n v="0"/>
    <m/>
  </r>
  <r>
    <m/>
    <x v="14"/>
    <x v="3"/>
    <x v="15"/>
    <m/>
    <m/>
    <m/>
    <x v="5"/>
    <m/>
    <m/>
    <m/>
    <m/>
    <m/>
    <m/>
    <m/>
    <m/>
    <m/>
    <m/>
    <m/>
    <m/>
    <m/>
    <m/>
    <m/>
    <m/>
    <m/>
    <m/>
    <m/>
    <m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42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02"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1000-000000000000}" name="Tableau croisé dynamique2" cacheId="35" applyNumberFormats="0" applyBorderFormats="0" applyFontFormats="0" applyPatternFormats="0" applyAlignmentFormats="0" applyWidthHeightFormats="1" dataCaption="Valeurs" updatedVersion="6" minRefreshableVersion="3" useAutoFormatting="1" itemPrintTitles="1" createdVersion="5" indent="0" outline="1" outlineData="1" multipleFieldFilters="0" chartFormat="13">
  <location ref="A3:D20" firstHeaderRow="0" firstDataRow="1" firstDataCol="1"/>
  <pivotFields count="234">
    <pivotField showAll="0"/>
    <pivotField showAll="0"/>
    <pivotField showAll="0"/>
    <pivotField axis="axisRow" showAll="0" sortType="ascending">
      <items count="17">
        <item x="0"/>
        <item x="1"/>
        <item x="4"/>
        <item x="5"/>
        <item x="7"/>
        <item x="3"/>
        <item x="6"/>
        <item x="2"/>
        <item x="8"/>
        <item x="13"/>
        <item x="12"/>
        <item x="14"/>
        <item x="9"/>
        <item x="10"/>
        <item x="11"/>
        <item x="15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 defaultSubtotal="0"/>
    <pivotField showAll="0"/>
    <pivotField showAll="0"/>
    <pivotField showAll="0"/>
    <pivotField showAll="0">
      <items count="6">
        <item x="1"/>
        <item x="0"/>
        <item x="3"/>
        <item x="2"/>
        <item x="4"/>
        <item t="default"/>
      </items>
    </pivotField>
    <pivotField dataField="1" numFmtId="1" showAll="0"/>
    <pivotField numFmtId="1" showAll="0" defaultSubtotal="0"/>
    <pivotField showAll="0"/>
    <pivotField showAll="0"/>
    <pivotField showAll="0"/>
    <pivotField showAll="0"/>
    <pivotField showAll="0" defaultSubtotal="0"/>
    <pivotField dataField="1" showAll="0"/>
    <pivotField showAll="0" defaultSubtotal="0"/>
    <pivotField showAll="0"/>
    <pivotField showAll="0" defaultSubtotal="0"/>
    <pivotField showAll="0" defaultSubtotal="0"/>
    <pivotField showAll="0" defaultSubtota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 defaultSubtotal="0"/>
    <pivotField showAll="0" defaultSubtotal="0"/>
    <pivotField showAll="0" defaultSubtotal="0"/>
    <pivotField showAll="0" defaultSubtotal="0"/>
    <pivotField showAll="0"/>
    <pivotField showAll="0" defaultSubtotal="0"/>
    <pivotField showAll="0" defaultSubtotal="0"/>
    <pivotField showAll="0" defaultSubtotal="0"/>
    <pivotField showAll="0" defaultSubtotal="0"/>
    <pivotField showAll="0"/>
    <pivotField showAll="0"/>
    <pivotField numFmtId="1" showAll="0" defaultSubtotal="0"/>
    <pivotField showAll="0" defaultSubtotal="0"/>
    <pivotField showAll="0"/>
    <pivotField showAl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/>
    <pivotField showAll="0" defaultSubtotal="0"/>
    <pivotField showAll="0" defaultSubtotal="0"/>
    <pivotField showAll="0" defaultSubtota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 defaultSubtotal="0"/>
    <pivotField showAll="0" defaultSubtotal="0"/>
    <pivotField showAll="0"/>
    <pivotField showAll="0" defaultSubtotal="0"/>
    <pivotField showAll="0" defaultSubtota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numFmtId="166" showAll="0"/>
    <pivotField showAll="0" defaultSubtotal="0"/>
    <pivotField showAll="0" defaultSubtotal="0"/>
    <pivotField showAll="0" defaultSubtotal="0"/>
    <pivotField showAll="0" defaultSubtotal="0"/>
    <pivotField showAll="0"/>
    <pivotField showAll="0"/>
    <pivotField showAll="0" defaultSubtotal="0"/>
    <pivotField showAll="0" defaultSubtotal="0"/>
    <pivotField numFmtId="166" showAll="0" defaultSubtotal="0"/>
    <pivotField numFmtId="166" showAll="0" defaultSubtotal="0"/>
    <pivotField showAll="0"/>
    <pivotField showAll="0" defaultSubtotal="0"/>
    <pivotField showAll="0"/>
    <pivotField showAll="0"/>
    <pivotField showAll="0"/>
    <pivotField showAll="0"/>
    <pivotField showAll="0"/>
    <pivotField showAll="0"/>
    <pivotField showAll="0"/>
    <pivotField showAll="0" defaultSubtotal="0"/>
    <pivotField showAll="0" defaultSubtotal="0"/>
    <pivotField showAll="0"/>
    <pivotField showAll="0"/>
    <pivotField showAll="0" defaultSubtotal="0"/>
    <pivotField showAll="0"/>
    <pivotField numFmtId="14" showAll="0" defaultSubtotal="0"/>
    <pivotField showAll="0"/>
    <pivotField showAll="0"/>
    <pivotField showAll="0"/>
    <pivotField showAll="0"/>
    <pivotField showAll="0"/>
    <pivotField showAll="0"/>
    <pivotField showAll="0"/>
    <pivotField showAll="0" defaultSubtotal="0"/>
    <pivotField showAll="0"/>
    <pivotField showAll="0"/>
    <pivotField showAll="0" defaultSubtotal="0"/>
    <pivotField showAll="0"/>
    <pivotField showAll="0"/>
    <pivotField showAll="0" defaultSubtotal="0"/>
    <pivotField showAll="0"/>
    <pivotField showAll="0"/>
    <pivotField showAll="0"/>
    <pivotField showAll="0"/>
    <pivotField showAll="0"/>
    <pivotField showAll="0"/>
    <pivotField showAll="0"/>
    <pivotField showAll="0"/>
    <pivotField showAll="0" defaultSubtotal="0"/>
    <pivotField dataField="1" showAll="0"/>
    <pivotField showAll="0" defaultSubtotal="0"/>
    <pivotField numFmtId="167" showAll="0" defaultSubtotal="0"/>
    <pivotField showAll="0"/>
    <pivotField showAll="0"/>
    <pivotField showAll="0" defaultSubtotal="0"/>
    <pivotField showAll="0" defaultSubtotal="0"/>
    <pivotField showAll="0"/>
    <pivotField showAll="0"/>
    <pivotField showAll="0"/>
    <pivotField showAll="0"/>
    <pivotField showAll="0"/>
    <pivotField showAll="0" defaultSubtotal="0"/>
    <pivotField showAll="0"/>
    <pivotField showAll="0"/>
    <pivotField showAll="0"/>
    <pivotField showAll="0" defaultSubtotal="0"/>
    <pivotField showAll="0" defaultSubtota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/>
    <pivotField showAll="0" defaultSubtotal="0"/>
    <pivotField showAll="0" defaultSubtotal="0"/>
    <pivotField showAll="0" defaultSubtotal="0"/>
    <pivotField showAll="0" defaultSubtotal="0"/>
  </pivotFields>
  <rowFields count="1">
    <field x="3"/>
  </rowFields>
  <rowItems count="17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Somme de PRP TTC  " fld="181" baseField="3" baseItem="0"/>
    <dataField name="Somme de SF priorisée" fld="36" baseField="3" baseItem="0"/>
    <dataField name="Somme de N" fld="29" baseField="0" baseItem="0"/>
  </dataFields>
  <formats count="2">
    <format dxfId="6">
      <pivotArea collapsedLevelsAreSubtotals="1" fieldPosition="0">
        <references count="1">
          <reference field="3" count="0"/>
        </references>
      </pivotArea>
    </format>
    <format dxfId="7">
      <pivotArea grandRow="1" outline="0" collapsedLevelsAreSubtotals="1" fieldPosition="0"/>
    </format>
  </formats>
  <chartFormats count="14">
    <chartFormat chart="12" format="10" series="1">
      <pivotArea type="data" outline="0" fieldPosition="0">
        <references count="1">
          <reference field="3" count="1" selected="0">
            <x v="0"/>
          </reference>
        </references>
      </pivotArea>
    </chartFormat>
    <chartFormat chart="12" format="11" series="1">
      <pivotArea type="data" outline="0" fieldPosition="0">
        <references count="1">
          <reference field="3" count="1" selected="0">
            <x v="1"/>
          </reference>
        </references>
      </pivotArea>
    </chartFormat>
    <chartFormat chart="12" format="12" series="1">
      <pivotArea type="data" outline="0" fieldPosition="0">
        <references count="1">
          <reference field="3" count="1" selected="0">
            <x v="2"/>
          </reference>
        </references>
      </pivotArea>
    </chartFormat>
    <chartFormat chart="12" format="13" series="1">
      <pivotArea type="data" outline="0" fieldPosition="0">
        <references count="1">
          <reference field="3" count="1" selected="0">
            <x v="3"/>
          </reference>
        </references>
      </pivotArea>
    </chartFormat>
    <chartFormat chart="12" format="14" series="1">
      <pivotArea type="data" outline="0" fieldPosition="0">
        <references count="1">
          <reference field="3" count="1" selected="0">
            <x v="4"/>
          </reference>
        </references>
      </pivotArea>
    </chartFormat>
    <chartFormat chart="12" format="15" series="1">
      <pivotArea type="data" outline="0" fieldPosition="0">
        <references count="1">
          <reference field="3" count="1" selected="0">
            <x v="5"/>
          </reference>
        </references>
      </pivotArea>
    </chartFormat>
    <chartFormat chart="12" format="16" series="1">
      <pivotArea type="data" outline="0" fieldPosition="0">
        <references count="1">
          <reference field="3" count="1" selected="0">
            <x v="6"/>
          </reference>
        </references>
      </pivotArea>
    </chartFormat>
    <chartFormat chart="12" format="17" series="1">
      <pivotArea type="data" outline="0" fieldPosition="0">
        <references count="1">
          <reference field="3" count="1" selected="0">
            <x v="7"/>
          </reference>
        </references>
      </pivotArea>
    </chartFormat>
    <chartFormat chart="12" format="18" series="1">
      <pivotArea type="data" outline="0" fieldPosition="0">
        <references count="1">
          <reference field="3" count="1" selected="0">
            <x v="8"/>
          </reference>
        </references>
      </pivotArea>
    </chartFormat>
    <chartFormat chart="12" format="19" series="1">
      <pivotArea type="data" outline="0" fieldPosition="0">
        <references count="1">
          <reference field="3" count="1" selected="0">
            <x v="9"/>
          </reference>
        </references>
      </pivotArea>
    </chartFormat>
    <chartFormat chart="12" format="20" series="1">
      <pivotArea type="data" outline="0" fieldPosition="0">
        <references count="1">
          <reference field="3" count="1" selected="0">
            <x v="11"/>
          </reference>
        </references>
      </pivotArea>
    </chartFormat>
    <chartFormat chart="12" format="166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12" format="167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2" format="168" series="1">
      <pivotArea type="data" outline="0" fieldPosition="0">
        <references count="1">
          <reference field="4294967294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 filterMode="1">
    <tabColor rgb="FF08E61D"/>
    <pageSetUpPr fitToPage="1"/>
  </sheetPr>
  <dimension ref="A1:XCO264"/>
  <sheetViews>
    <sheetView zoomScale="70" zoomScaleNormal="70" zoomScaleSheetLayoutView="70" workbookViewId="0">
      <pane xSplit="1" ySplit="1" topLeftCell="FX65" activePane="bottomRight" state="frozen"/>
      <selection pane="topRight" activeCell="B1" sqref="B1"/>
      <selection pane="bottomLeft" activeCell="A2" sqref="A2"/>
      <selection pane="bottomRight" activeCell="EO69" sqref="EO69"/>
    </sheetView>
  </sheetViews>
  <sheetFormatPr baseColWidth="10" defaultColWidth="11.44140625" defaultRowHeight="14.4" outlineLevelCol="1"/>
  <cols>
    <col min="1" max="1" width="45.88671875" style="785" customWidth="1"/>
    <col min="2" max="2" width="14.44140625" style="11" customWidth="1"/>
    <col min="3" max="3" width="11.6640625" style="11" customWidth="1"/>
    <col min="4" max="4" width="18.109375" style="11" customWidth="1"/>
    <col min="5" max="5" width="21.109375" style="11" customWidth="1"/>
    <col min="6" max="6" width="10.5546875" style="11" customWidth="1"/>
    <col min="7" max="7" width="16.88671875" style="11" customWidth="1"/>
    <col min="8" max="8" width="18.88671875" style="11" customWidth="1"/>
    <col min="9" max="9" width="15" style="11" customWidth="1"/>
    <col min="10" max="10" width="18.6640625" style="11" customWidth="1"/>
    <col min="11" max="11" width="7.33203125" style="210" customWidth="1" outlineLevel="1"/>
    <col min="12" max="13" width="7.33203125" style="135" customWidth="1" outlineLevel="1"/>
    <col min="14" max="14" width="12" style="135" customWidth="1" outlineLevel="1"/>
    <col min="15" max="15" width="7.33203125" style="11" customWidth="1" outlineLevel="1"/>
    <col min="16" max="16" width="15.88671875" style="11" customWidth="1" outlineLevel="1"/>
    <col min="17" max="17" width="17.6640625" style="11" customWidth="1" outlineLevel="1"/>
    <col min="18" max="18" width="10.6640625" style="11" customWidth="1" outlineLevel="1"/>
    <col min="19" max="20" width="7.33203125" style="11" customWidth="1" outlineLevel="1"/>
    <col min="21" max="21" width="15.33203125" style="11" customWidth="1" outlineLevel="1"/>
    <col min="22" max="22" width="16.6640625" style="11" customWidth="1" outlineLevel="1"/>
    <col min="23" max="23" width="7.33203125" style="11" customWidth="1" outlineLevel="1"/>
    <col min="24" max="24" width="10.6640625" style="11" customWidth="1" outlineLevel="1"/>
    <col min="25" max="25" width="9.5546875" style="11" customWidth="1" outlineLevel="1"/>
    <col min="26" max="28" width="7.33203125" style="11" customWidth="1" outlineLevel="1"/>
    <col min="29" max="29" width="7.33203125" style="11" customWidth="1"/>
    <col min="30" max="31" width="11.44140625" style="11" customWidth="1" collapsed="1"/>
    <col min="32" max="32" width="17.44140625" style="11" customWidth="1"/>
    <col min="33" max="33" width="11.88671875" style="11" customWidth="1" collapsed="1"/>
    <col min="34" max="35" width="11.88671875" style="11" customWidth="1"/>
    <col min="36" max="36" width="18.6640625" style="480" customWidth="1"/>
    <col min="37" max="37" width="16.33203125" style="121" customWidth="1" outlineLevel="1"/>
    <col min="38" max="38" width="16.33203125" style="591" customWidth="1" outlineLevel="1"/>
    <col min="39" max="42" width="10.5546875" style="11" customWidth="1" outlineLevel="1"/>
    <col min="43" max="48" width="15.5546875" style="11" customWidth="1" outlineLevel="1"/>
    <col min="49" max="49" width="15.5546875" style="96" customWidth="1" outlineLevel="1"/>
    <col min="50" max="50" width="15.5546875" style="20" customWidth="1" outlineLevel="1"/>
    <col min="51" max="53" width="15.5546875" style="11" customWidth="1" outlineLevel="1"/>
    <col min="54" max="54" width="18" style="11" customWidth="1" outlineLevel="1"/>
    <col min="55" max="55" width="26.88671875" style="11" customWidth="1" outlineLevel="1"/>
    <col min="56" max="56" width="23.5546875" style="11" customWidth="1" outlineLevel="1"/>
    <col min="57" max="57" width="21.44140625" style="11" customWidth="1" outlineLevel="1"/>
    <col min="58" max="58" width="25.44140625" style="11" customWidth="1"/>
    <col min="59" max="59" width="10.33203125" style="11" customWidth="1"/>
    <col min="60" max="60" width="28.88671875" style="11" customWidth="1"/>
    <col min="61" max="61" width="22.44140625" style="11" customWidth="1"/>
    <col min="62" max="62" width="21.109375" style="121" customWidth="1"/>
    <col min="63" max="66" width="21.5546875" style="121" customWidth="1"/>
    <col min="67" max="67" width="20.5546875" style="121" customWidth="1" outlineLevel="1"/>
    <col min="68" max="69" width="18.44140625" style="121" customWidth="1" outlineLevel="1"/>
    <col min="70" max="70" width="18.44140625" style="645" customWidth="1" outlineLevel="1"/>
    <col min="71" max="71" width="23.44140625" style="121" customWidth="1" outlineLevel="1"/>
    <col min="72" max="76" width="21.44140625" style="121" customWidth="1" outlineLevel="1"/>
    <col min="77" max="77" width="40.109375" style="121" customWidth="1" outlineLevel="1"/>
    <col min="78" max="79" width="23.6640625" style="121" customWidth="1" outlineLevel="1"/>
    <col min="80" max="80" width="23.6640625" style="11" customWidth="1" outlineLevel="1"/>
    <col min="81" max="82" width="23.6640625" style="357" customWidth="1" outlineLevel="1"/>
    <col min="83" max="83" width="23.6640625" style="21" customWidth="1" outlineLevel="1"/>
    <col min="84" max="84" width="23.6640625" style="11" customWidth="1" outlineLevel="1"/>
    <col min="85" max="85" width="23.6640625" style="357" customWidth="1" outlineLevel="1"/>
    <col min="86" max="86" width="23.6640625" style="11" customWidth="1" outlineLevel="1"/>
    <col min="87" max="87" width="23.6640625" style="357" customWidth="1" outlineLevel="1"/>
    <col min="88" max="92" width="23.6640625" style="11" customWidth="1" outlineLevel="1"/>
    <col min="93" max="94" width="23.6640625" style="357" customWidth="1" outlineLevel="1"/>
    <col min="95" max="96" width="23.6640625" style="11" customWidth="1" outlineLevel="1"/>
    <col min="97" max="97" width="23.6640625" style="357" customWidth="1" outlineLevel="1"/>
    <col min="98" max="99" width="23.6640625" style="357" customWidth="1"/>
    <col min="100" max="100" width="23.6640625" style="11" customWidth="1"/>
    <col min="101" max="101" width="23.6640625" style="357" customWidth="1"/>
    <col min="102" max="102" width="23.6640625" style="11" customWidth="1"/>
    <col min="103" max="103" width="27.109375" style="11" customWidth="1"/>
    <col min="104" max="104" width="30.33203125" style="11" customWidth="1"/>
    <col min="105" max="105" width="14.88671875" style="11" customWidth="1"/>
    <col min="106" max="106" width="27.33203125" style="157" customWidth="1"/>
    <col min="107" max="107" width="25.44140625" style="11" customWidth="1"/>
    <col min="108" max="109" width="30.6640625" style="357" customWidth="1"/>
    <col min="110" max="110" width="30.6640625" style="21" customWidth="1"/>
    <col min="111" max="112" width="30.6640625" style="357" customWidth="1"/>
    <col min="113" max="113" width="30.6640625" style="11" customWidth="1"/>
    <col min="114" max="115" width="30.6640625" style="357" customWidth="1"/>
    <col min="116" max="116" width="30.6640625" style="11" customWidth="1"/>
    <col min="117" max="118" width="30.6640625" style="357" customWidth="1"/>
    <col min="119" max="119" width="30.6640625" style="11" customWidth="1"/>
    <col min="120" max="121" width="30.6640625" style="357" customWidth="1"/>
    <col min="122" max="122" width="30.6640625" style="11" customWidth="1"/>
    <col min="123" max="124" width="30.6640625" style="357" customWidth="1"/>
    <col min="125" max="125" width="30.6640625" style="11" customWidth="1"/>
    <col min="126" max="126" width="30.6640625" style="361" customWidth="1"/>
    <col min="127" max="127" width="36.44140625" style="361" customWidth="1"/>
    <col min="128" max="128" width="14.88671875" style="13" customWidth="1"/>
    <col min="129" max="129" width="27.109375" style="361" customWidth="1"/>
    <col min="130" max="130" width="25" style="361" customWidth="1"/>
    <col min="131" max="131" width="27.109375" style="361" customWidth="1"/>
    <col min="132" max="134" width="27.6640625" style="11" customWidth="1"/>
    <col min="135" max="135" width="25.33203125" style="121" customWidth="1"/>
    <col min="136" max="136" width="11.88671875" style="11" customWidth="1"/>
    <col min="137" max="137" width="17.6640625" style="11" customWidth="1"/>
    <col min="138" max="138" width="26.109375" style="11" customWidth="1"/>
    <col min="139" max="139" width="27.88671875" style="11" customWidth="1"/>
    <col min="140" max="140" width="17.33203125" style="11" customWidth="1"/>
    <col min="141" max="141" width="32" style="11" customWidth="1"/>
    <col min="142" max="142" width="22.33203125" style="11" customWidth="1"/>
    <col min="143" max="143" width="35" style="228" customWidth="1"/>
    <col min="144" max="144" width="14.88671875" style="11" customWidth="1"/>
    <col min="145" max="145" width="13.5546875" style="11" customWidth="1"/>
    <col min="146" max="146" width="18.6640625" style="11" customWidth="1"/>
    <col min="147" max="147" width="19" style="11" customWidth="1"/>
    <col min="148" max="153" width="30.6640625" style="375" customWidth="1"/>
    <col min="154" max="154" width="30.6640625" style="13" customWidth="1"/>
    <col min="155" max="155" width="23.5546875" style="13" customWidth="1"/>
    <col min="156" max="156" width="48.44140625" style="542" customWidth="1"/>
    <col min="157" max="158" width="57" style="13" customWidth="1"/>
    <col min="159" max="161" width="9.44140625" style="11" customWidth="1" outlineLevel="1"/>
    <col min="162" max="162" width="13.33203125" style="11" customWidth="1" outlineLevel="1"/>
    <col min="163" max="163" width="11.44140625" style="11" customWidth="1" outlineLevel="1"/>
    <col min="164" max="164" width="19.44140625" style="11" customWidth="1" outlineLevel="1"/>
    <col min="165" max="166" width="14" style="11" customWidth="1" outlineLevel="1"/>
    <col min="167" max="167" width="11.6640625" style="11" customWidth="1"/>
    <col min="168" max="169" width="13.44140625" style="11" customWidth="1"/>
    <col min="170" max="170" width="11.6640625" style="11" customWidth="1"/>
    <col min="171" max="171" width="12.88671875" style="11" customWidth="1"/>
    <col min="172" max="172" width="12.44140625" style="11" customWidth="1"/>
    <col min="173" max="173" width="9.44140625" style="11" customWidth="1"/>
    <col min="174" max="174" width="20.88671875" style="11" customWidth="1"/>
    <col min="175" max="175" width="21.109375" style="11" customWidth="1"/>
    <col min="176" max="176" width="12.109375" style="11" customWidth="1"/>
    <col min="177" max="177" width="9.44140625" style="11" customWidth="1"/>
    <col min="178" max="178" width="12" style="11" customWidth="1"/>
    <col min="179" max="179" width="9.44140625" style="11" customWidth="1"/>
    <col min="180" max="181" width="27" style="391" customWidth="1" outlineLevel="1"/>
    <col min="182" max="182" width="22.88671875" style="21" customWidth="1" outlineLevel="1"/>
    <col min="183" max="183" width="18" style="11" customWidth="1" outlineLevel="1"/>
    <col min="184" max="184" width="29.5546875" style="21" customWidth="1" outlineLevel="1"/>
    <col min="185" max="185" width="11.44140625" style="11" customWidth="1" outlineLevel="1"/>
    <col min="186" max="186" width="12" style="11" customWidth="1" outlineLevel="1"/>
    <col min="187" max="187" width="29.33203125" style="11" customWidth="1" outlineLevel="1"/>
    <col min="188" max="188" width="21.109375" style="11" hidden="1" customWidth="1" outlineLevel="1"/>
    <col min="189" max="189" width="10.88671875" style="11" hidden="1" customWidth="1" outlineLevel="1"/>
    <col min="190" max="190" width="22.33203125" style="11" customWidth="1" outlineLevel="1"/>
    <col min="191" max="191" width="16.33203125" style="11" customWidth="1" outlineLevel="1"/>
    <col min="192" max="192" width="18.109375" style="11" customWidth="1" outlineLevel="1"/>
    <col min="193" max="193" width="10" style="411" hidden="1" customWidth="1" outlineLevel="1"/>
    <col min="194" max="194" width="19.5546875" style="11" customWidth="1" outlineLevel="1"/>
    <col min="195" max="195" width="19.5546875" style="40" customWidth="1" outlineLevel="1"/>
    <col min="196" max="196" width="15.5546875" style="40" hidden="1" customWidth="1" outlineLevel="1"/>
    <col min="197" max="197" width="11" style="40" hidden="1" customWidth="1" outlineLevel="1"/>
    <col min="198" max="198" width="15.33203125" style="40" customWidth="1" outlineLevel="1"/>
    <col min="199" max="199" width="16.33203125" style="40" hidden="1" customWidth="1" outlineLevel="1"/>
    <col min="200" max="200" width="16.5546875" style="40" customWidth="1" outlineLevel="1"/>
    <col min="201" max="201" width="17.44140625" style="40" hidden="1" customWidth="1" outlineLevel="1"/>
    <col min="202" max="202" width="17.109375" style="40" hidden="1" customWidth="1" outlineLevel="1"/>
    <col min="203" max="203" width="15" style="11" hidden="1" customWidth="1" outlineLevel="1"/>
    <col min="204" max="204" width="18" style="11" hidden="1" customWidth="1" outlineLevel="1"/>
    <col min="205" max="205" width="15.5546875" style="11" hidden="1" customWidth="1" outlineLevel="1"/>
    <col min="206" max="206" width="13.109375" style="11" hidden="1" customWidth="1" outlineLevel="1"/>
    <col min="207" max="209" width="15.5546875" style="11" hidden="1" customWidth="1" outlineLevel="1"/>
    <col min="210" max="210" width="24.6640625" style="11" hidden="1" customWidth="1" outlineLevel="1"/>
    <col min="211" max="211" width="20.109375" style="11" customWidth="1" outlineLevel="1"/>
    <col min="212" max="212" width="23.88671875" style="21" customWidth="1" outlineLevel="1"/>
    <col min="213" max="213" width="18.6640625" style="11" customWidth="1" outlineLevel="1"/>
    <col min="214" max="214" width="24.88671875" style="11" customWidth="1" outlineLevel="1"/>
    <col min="215" max="216" width="43.5546875" style="11" customWidth="1" outlineLevel="1"/>
    <col min="217" max="217" width="21.5546875" style="11" customWidth="1" outlineLevel="1"/>
    <col min="218" max="218" width="31.6640625" style="11" customWidth="1" outlineLevel="1"/>
    <col min="219" max="219" width="18.6640625" style="11" customWidth="1" outlineLevel="1"/>
    <col min="220" max="220" width="44.33203125" style="11" customWidth="1" outlineLevel="1"/>
    <col min="221" max="224" width="28" style="11" customWidth="1" outlineLevel="1"/>
    <col min="225" max="229" width="28" style="40" customWidth="1" outlineLevel="1"/>
    <col min="230" max="231" width="28" style="11" customWidth="1" outlineLevel="1"/>
    <col min="232" max="232" width="28" style="40" customWidth="1" outlineLevel="1"/>
    <col min="233" max="16384" width="11.44140625" style="13"/>
  </cols>
  <sheetData>
    <row r="1" spans="1:232" s="325" customFormat="1" ht="57.75" customHeight="1">
      <c r="A1" s="296" t="s">
        <v>0</v>
      </c>
      <c r="B1" s="296" t="s">
        <v>1</v>
      </c>
      <c r="C1" s="296" t="s">
        <v>89</v>
      </c>
      <c r="D1" s="296" t="s">
        <v>54</v>
      </c>
      <c r="E1" s="296" t="s">
        <v>2</v>
      </c>
      <c r="F1" s="297" t="s">
        <v>6</v>
      </c>
      <c r="G1" s="297" t="s">
        <v>242</v>
      </c>
      <c r="H1" s="297" t="s">
        <v>241</v>
      </c>
      <c r="I1" s="297" t="s">
        <v>236</v>
      </c>
      <c r="J1" s="297" t="s">
        <v>237</v>
      </c>
      <c r="K1" s="298" t="s">
        <v>11</v>
      </c>
      <c r="L1" s="299" t="s">
        <v>42</v>
      </c>
      <c r="M1" s="299" t="s">
        <v>7</v>
      </c>
      <c r="N1" s="299" t="s">
        <v>8</v>
      </c>
      <c r="O1" s="298" t="s">
        <v>148</v>
      </c>
      <c r="P1" s="298" t="s">
        <v>171</v>
      </c>
      <c r="Q1" s="298" t="s">
        <v>170</v>
      </c>
      <c r="R1" s="298" t="s">
        <v>198</v>
      </c>
      <c r="S1" s="298" t="s">
        <v>173</v>
      </c>
      <c r="T1" s="298" t="s">
        <v>172</v>
      </c>
      <c r="U1" s="298" t="s">
        <v>162</v>
      </c>
      <c r="V1" s="298" t="s">
        <v>182</v>
      </c>
      <c r="W1" s="298" t="s">
        <v>179</v>
      </c>
      <c r="X1" s="298" t="s">
        <v>150</v>
      </c>
      <c r="Y1" s="298" t="s">
        <v>675</v>
      </c>
      <c r="Z1" s="298" t="s">
        <v>146</v>
      </c>
      <c r="AA1" s="298" t="s">
        <v>94</v>
      </c>
      <c r="AB1" s="298" t="s">
        <v>95</v>
      </c>
      <c r="AC1" s="296" t="s">
        <v>102</v>
      </c>
      <c r="AD1" s="492" t="s">
        <v>3</v>
      </c>
      <c r="AE1" s="492" t="s">
        <v>608</v>
      </c>
      <c r="AF1" s="296" t="s">
        <v>9</v>
      </c>
      <c r="AG1" s="296" t="s">
        <v>10</v>
      </c>
      <c r="AH1" s="297" t="s">
        <v>301</v>
      </c>
      <c r="AI1" s="297" t="s">
        <v>456</v>
      </c>
      <c r="AJ1" s="506" t="s">
        <v>752</v>
      </c>
      <c r="AK1" s="300" t="s">
        <v>103</v>
      </c>
      <c r="AL1" s="585" t="s">
        <v>757</v>
      </c>
      <c r="AM1" s="296" t="s">
        <v>96</v>
      </c>
      <c r="AN1" s="297" t="s">
        <v>924</v>
      </c>
      <c r="AO1" s="297" t="s">
        <v>925</v>
      </c>
      <c r="AP1" s="297" t="s">
        <v>751</v>
      </c>
      <c r="AQ1" s="297" t="s">
        <v>174</v>
      </c>
      <c r="AR1" s="297" t="s">
        <v>175</v>
      </c>
      <c r="AS1" s="297" t="s">
        <v>176</v>
      </c>
      <c r="AT1" s="297" t="s">
        <v>177</v>
      </c>
      <c r="AU1" s="297" t="s">
        <v>178</v>
      </c>
      <c r="AV1" s="296" t="s">
        <v>125</v>
      </c>
      <c r="AW1" s="301" t="s">
        <v>149</v>
      </c>
      <c r="AX1" s="302" t="s">
        <v>169</v>
      </c>
      <c r="AY1" s="297" t="s">
        <v>151</v>
      </c>
      <c r="AZ1" s="297" t="s">
        <v>396</v>
      </c>
      <c r="BA1" s="296" t="s">
        <v>97</v>
      </c>
      <c r="BB1" s="440" t="s">
        <v>574</v>
      </c>
      <c r="BC1" s="440" t="s">
        <v>712</v>
      </c>
      <c r="BD1" s="440" t="s">
        <v>612</v>
      </c>
      <c r="BE1" s="440" t="s">
        <v>726</v>
      </c>
      <c r="BF1" s="303" t="s">
        <v>221</v>
      </c>
      <c r="BG1" s="303" t="s">
        <v>872</v>
      </c>
      <c r="BH1" s="303" t="s">
        <v>795</v>
      </c>
      <c r="BI1" s="303" t="s">
        <v>796</v>
      </c>
      <c r="BJ1" s="304" t="s">
        <v>792</v>
      </c>
      <c r="BK1" s="304" t="s">
        <v>4</v>
      </c>
      <c r="BL1" s="305" t="s">
        <v>227</v>
      </c>
      <c r="BM1" s="305" t="s">
        <v>791</v>
      </c>
      <c r="BN1" s="577" t="s">
        <v>750</v>
      </c>
      <c r="BO1" s="306" t="s">
        <v>119</v>
      </c>
      <c r="BP1" s="307" t="s">
        <v>135</v>
      </c>
      <c r="BQ1" s="653" t="s">
        <v>788</v>
      </c>
      <c r="BR1" s="636" t="s">
        <v>772</v>
      </c>
      <c r="BS1" s="308" t="s">
        <v>686</v>
      </c>
      <c r="BT1" s="308" t="s">
        <v>702</v>
      </c>
      <c r="BU1" s="309" t="s">
        <v>685</v>
      </c>
      <c r="BV1" s="309" t="s">
        <v>701</v>
      </c>
      <c r="BW1" s="309" t="s">
        <v>571</v>
      </c>
      <c r="BX1" s="309" t="s">
        <v>372</v>
      </c>
      <c r="BY1" s="309" t="s">
        <v>570</v>
      </c>
      <c r="BZ1" s="309" t="s">
        <v>572</v>
      </c>
      <c r="CA1" s="309" t="s">
        <v>703</v>
      </c>
      <c r="CB1" s="430" t="s">
        <v>468</v>
      </c>
      <c r="CC1" s="431" t="s">
        <v>475</v>
      </c>
      <c r="CD1" s="432" t="s">
        <v>476</v>
      </c>
      <c r="CE1" s="433" t="s">
        <v>477</v>
      </c>
      <c r="CF1" s="434" t="s">
        <v>469</v>
      </c>
      <c r="CG1" s="432" t="s">
        <v>470</v>
      </c>
      <c r="CH1" s="430" t="s">
        <v>471</v>
      </c>
      <c r="CI1" s="431" t="s">
        <v>472</v>
      </c>
      <c r="CJ1" s="430" t="s">
        <v>473</v>
      </c>
      <c r="CK1" s="430" t="s">
        <v>474</v>
      </c>
      <c r="CL1" s="322" t="s">
        <v>478</v>
      </c>
      <c r="CM1" s="321" t="s">
        <v>479</v>
      </c>
      <c r="CN1" s="321" t="s">
        <v>474</v>
      </c>
      <c r="CO1" s="544" t="s">
        <v>480</v>
      </c>
      <c r="CP1" s="545" t="s">
        <v>481</v>
      </c>
      <c r="CQ1" s="321" t="s">
        <v>474</v>
      </c>
      <c r="CR1" s="453" t="s">
        <v>467</v>
      </c>
      <c r="CS1" s="453" t="s">
        <v>5</v>
      </c>
      <c r="CT1" s="435" t="s">
        <v>482</v>
      </c>
      <c r="CU1" s="436" t="s">
        <v>483</v>
      </c>
      <c r="CV1" s="437" t="s">
        <v>474</v>
      </c>
      <c r="CW1" s="435" t="s">
        <v>484</v>
      </c>
      <c r="CX1" s="486" t="s">
        <v>209</v>
      </c>
      <c r="CY1" s="311" t="s">
        <v>460</v>
      </c>
      <c r="CZ1" s="311" t="s">
        <v>459</v>
      </c>
      <c r="DA1" s="437" t="s">
        <v>485</v>
      </c>
      <c r="DB1" s="312" t="s">
        <v>251</v>
      </c>
      <c r="DC1" s="310" t="s">
        <v>250</v>
      </c>
      <c r="DD1" s="359" t="s">
        <v>486</v>
      </c>
      <c r="DE1" s="358" t="s">
        <v>487</v>
      </c>
      <c r="DF1" s="323" t="s">
        <v>474</v>
      </c>
      <c r="DG1" s="359" t="s">
        <v>488</v>
      </c>
      <c r="DH1" s="358" t="s">
        <v>489</v>
      </c>
      <c r="DI1" s="323" t="s">
        <v>474</v>
      </c>
      <c r="DJ1" s="359" t="s">
        <v>490</v>
      </c>
      <c r="DK1" s="358" t="s">
        <v>491</v>
      </c>
      <c r="DL1" s="323" t="s">
        <v>474</v>
      </c>
      <c r="DM1" s="359" t="s">
        <v>758</v>
      </c>
      <c r="DN1" s="358" t="s">
        <v>759</v>
      </c>
      <c r="DO1" s="323" t="s">
        <v>474</v>
      </c>
      <c r="DP1" s="359" t="s">
        <v>760</v>
      </c>
      <c r="DQ1" s="358" t="s">
        <v>761</v>
      </c>
      <c r="DR1" s="323" t="s">
        <v>474</v>
      </c>
      <c r="DS1" s="359" t="s">
        <v>492</v>
      </c>
      <c r="DT1" s="358" t="s">
        <v>493</v>
      </c>
      <c r="DU1" s="323" t="s">
        <v>474</v>
      </c>
      <c r="DV1" s="359" t="s">
        <v>494</v>
      </c>
      <c r="DW1" s="358" t="s">
        <v>495</v>
      </c>
      <c r="DX1" s="323" t="s">
        <v>474</v>
      </c>
      <c r="DY1" s="358" t="s">
        <v>496</v>
      </c>
      <c r="DZ1" s="358" t="s">
        <v>497</v>
      </c>
      <c r="EA1" s="358" t="s">
        <v>498</v>
      </c>
      <c r="EB1" s="358" t="s">
        <v>544</v>
      </c>
      <c r="EC1" s="489" t="s">
        <v>581</v>
      </c>
      <c r="ED1" s="474" t="s">
        <v>582</v>
      </c>
      <c r="EE1" s="604" t="s">
        <v>765</v>
      </c>
      <c r="EF1" s="310" t="s">
        <v>742</v>
      </c>
      <c r="EG1" s="310" t="s">
        <v>223</v>
      </c>
      <c r="EH1" s="310" t="s">
        <v>245</v>
      </c>
      <c r="EI1" s="310" t="s">
        <v>547</v>
      </c>
      <c r="EJ1" s="531" t="s">
        <v>593</v>
      </c>
      <c r="EK1" s="532" t="s">
        <v>577</v>
      </c>
      <c r="EL1" s="488" t="s">
        <v>578</v>
      </c>
      <c r="EM1" s="311" t="s">
        <v>390</v>
      </c>
      <c r="EN1" s="470" t="s">
        <v>579</v>
      </c>
      <c r="EO1" s="311" t="s">
        <v>244</v>
      </c>
      <c r="EP1" s="310" t="s">
        <v>252</v>
      </c>
      <c r="EQ1" s="310" t="s">
        <v>292</v>
      </c>
      <c r="ER1" s="373" t="s">
        <v>499</v>
      </c>
      <c r="ES1" s="373" t="s">
        <v>500</v>
      </c>
      <c r="ET1" s="373" t="s">
        <v>391</v>
      </c>
      <c r="EU1" s="373" t="s">
        <v>543</v>
      </c>
      <c r="EV1" s="373" t="s">
        <v>590</v>
      </c>
      <c r="EW1" s="373" t="s">
        <v>591</v>
      </c>
      <c r="EX1" s="324" t="s">
        <v>501</v>
      </c>
      <c r="EY1" s="324" t="s">
        <v>279</v>
      </c>
      <c r="EZ1" s="324" t="s">
        <v>680</v>
      </c>
      <c r="FA1" s="324" t="s">
        <v>502</v>
      </c>
      <c r="FB1" s="310" t="s">
        <v>805</v>
      </c>
      <c r="FC1" s="310" t="s">
        <v>240</v>
      </c>
      <c r="FD1" s="310" t="s">
        <v>409</v>
      </c>
      <c r="FE1" s="310" t="s">
        <v>230</v>
      </c>
      <c r="FF1" s="310" t="s">
        <v>234</v>
      </c>
      <c r="FG1" s="310" t="s">
        <v>243</v>
      </c>
      <c r="FH1" s="310" t="s">
        <v>222</v>
      </c>
      <c r="FI1" s="310" t="s">
        <v>210</v>
      </c>
      <c r="FJ1" s="313" t="s">
        <v>575</v>
      </c>
      <c r="FK1" s="313" t="s">
        <v>211</v>
      </c>
      <c r="FL1" s="313" t="s">
        <v>212</v>
      </c>
      <c r="FM1" s="313" t="s">
        <v>694</v>
      </c>
      <c r="FN1" s="313" t="s">
        <v>213</v>
      </c>
      <c r="FO1" s="313" t="s">
        <v>214</v>
      </c>
      <c r="FP1" s="313" t="s">
        <v>561</v>
      </c>
      <c r="FQ1" s="313" t="s">
        <v>224</v>
      </c>
      <c r="FR1" s="313" t="s">
        <v>427</v>
      </c>
      <c r="FS1" s="314" t="s">
        <v>546</v>
      </c>
      <c r="FT1" s="313" t="s">
        <v>373</v>
      </c>
      <c r="FU1" s="313" t="s">
        <v>423</v>
      </c>
      <c r="FV1" s="313" t="s">
        <v>232</v>
      </c>
      <c r="FW1" s="313" t="s">
        <v>267</v>
      </c>
      <c r="FX1" s="387" t="s">
        <v>545</v>
      </c>
      <c r="FY1" s="651" t="s">
        <v>787</v>
      </c>
      <c r="FZ1" s="315" t="s">
        <v>145</v>
      </c>
      <c r="GA1" s="499" t="s">
        <v>843</v>
      </c>
      <c r="GB1" s="601" t="s">
        <v>763</v>
      </c>
      <c r="GC1" s="316" t="s">
        <v>53</v>
      </c>
      <c r="GD1" s="316" t="s">
        <v>106</v>
      </c>
      <c r="GE1" s="412" t="s">
        <v>700</v>
      </c>
      <c r="GF1" s="416" t="s">
        <v>555</v>
      </c>
      <c r="GG1" s="414" t="s">
        <v>107</v>
      </c>
      <c r="GH1" s="315" t="s">
        <v>77</v>
      </c>
      <c r="GI1" s="315" t="s">
        <v>11</v>
      </c>
      <c r="GJ1" s="315" t="s">
        <v>12</v>
      </c>
      <c r="GK1" s="406" t="s">
        <v>108</v>
      </c>
      <c r="GL1" s="315" t="s">
        <v>618</v>
      </c>
      <c r="GM1" s="317" t="s">
        <v>161</v>
      </c>
      <c r="GN1" s="319" t="s">
        <v>159</v>
      </c>
      <c r="GO1" s="317" t="s">
        <v>132</v>
      </c>
      <c r="GP1" s="315" t="s">
        <v>786</v>
      </c>
      <c r="GQ1" s="499" t="s">
        <v>782</v>
      </c>
      <c r="GR1" s="317" t="s">
        <v>126</v>
      </c>
      <c r="GS1" s="318" t="s">
        <v>78</v>
      </c>
      <c r="GT1" s="320" t="s">
        <v>180</v>
      </c>
      <c r="GU1" s="678" t="s">
        <v>123</v>
      </c>
      <c r="GV1" s="678" t="s">
        <v>100</v>
      </c>
      <c r="GW1" s="678" t="s">
        <v>101</v>
      </c>
      <c r="GX1" s="678" t="s">
        <v>109</v>
      </c>
      <c r="GY1" s="678" t="s">
        <v>111</v>
      </c>
      <c r="GZ1" s="679" t="s">
        <v>144</v>
      </c>
      <c r="HA1" s="678" t="s">
        <v>134</v>
      </c>
      <c r="HB1" s="678" t="s">
        <v>110</v>
      </c>
      <c r="HC1" s="317" t="s">
        <v>113</v>
      </c>
      <c r="HD1" s="601" t="s">
        <v>762</v>
      </c>
      <c r="HE1" s="601" t="s">
        <v>766</v>
      </c>
      <c r="HF1" s="601" t="s">
        <v>768</v>
      </c>
      <c r="HG1" s="617">
        <v>44196</v>
      </c>
      <c r="HH1" s="601" t="s">
        <v>927</v>
      </c>
      <c r="HI1" s="601" t="s">
        <v>764</v>
      </c>
      <c r="HJ1" s="601" t="s">
        <v>769</v>
      </c>
      <c r="HK1" s="601" t="s">
        <v>767</v>
      </c>
      <c r="HL1" s="601" t="s">
        <v>773</v>
      </c>
      <c r="HM1" s="672" t="s">
        <v>678</v>
      </c>
      <c r="HN1" s="672" t="s">
        <v>836</v>
      </c>
      <c r="HO1" s="672" t="s">
        <v>679</v>
      </c>
      <c r="HP1" s="672" t="s">
        <v>12</v>
      </c>
      <c r="HQ1" s="674" t="s">
        <v>837</v>
      </c>
      <c r="HR1" s="674" t="s">
        <v>838</v>
      </c>
      <c r="HS1" s="674" t="s">
        <v>839</v>
      </c>
      <c r="HT1" s="674" t="s">
        <v>840</v>
      </c>
      <c r="HU1" s="674" t="s">
        <v>841</v>
      </c>
      <c r="HV1" s="672" t="s">
        <v>278</v>
      </c>
      <c r="HW1" s="672" t="s">
        <v>842</v>
      </c>
      <c r="HX1" s="674" t="s">
        <v>461</v>
      </c>
    </row>
    <row r="2" spans="1:232" ht="20.100000000000001" hidden="1" customHeight="1">
      <c r="A2" s="6" t="s">
        <v>121</v>
      </c>
      <c r="B2" s="6" t="s">
        <v>59</v>
      </c>
      <c r="C2" s="6" t="s">
        <v>92</v>
      </c>
      <c r="D2" s="6">
        <v>2010</v>
      </c>
      <c r="E2" s="6" t="s">
        <v>122</v>
      </c>
      <c r="F2" s="6" t="s">
        <v>16</v>
      </c>
      <c r="G2" s="490"/>
      <c r="H2" s="6" t="s">
        <v>187</v>
      </c>
      <c r="I2" s="31" t="s">
        <v>98</v>
      </c>
      <c r="J2" s="31"/>
      <c r="K2" s="270" t="s">
        <v>454</v>
      </c>
      <c r="L2" s="277"/>
      <c r="M2" s="277"/>
      <c r="N2" s="277"/>
      <c r="O2" s="142">
        <v>9556</v>
      </c>
      <c r="P2" s="142">
        <v>407560.68000000005</v>
      </c>
      <c r="Q2" s="142">
        <v>222180</v>
      </c>
      <c r="R2" s="142">
        <f>P2/AD2</f>
        <v>15094.840000000002</v>
      </c>
      <c r="S2" s="142">
        <f>P2/O2</f>
        <v>42.649715362076186</v>
      </c>
      <c r="T2" s="142">
        <f>Q2/O2</f>
        <v>23.250313938886563</v>
      </c>
      <c r="U2" s="142">
        <f>Q2/AK2</f>
        <v>100.42124674573334</v>
      </c>
      <c r="V2" s="142">
        <f>Q2/AD2</f>
        <v>8228.8888888888887</v>
      </c>
      <c r="W2" s="142">
        <f>O2/AD2</f>
        <v>353.92592592592592</v>
      </c>
      <c r="X2" s="143"/>
      <c r="Y2" s="522">
        <f t="shared" ref="Y2:Y10" si="0">10000*AD2/O2</f>
        <v>28.25449979070741</v>
      </c>
      <c r="Z2" s="143" t="s">
        <v>163</v>
      </c>
      <c r="AA2" s="145"/>
      <c r="AB2" s="145"/>
      <c r="AC2" s="6" t="s">
        <v>10</v>
      </c>
      <c r="AD2" s="493">
        <f t="shared" ref="AD2:AD10" si="1">SUM(AF2:AI2)</f>
        <v>27</v>
      </c>
      <c r="AE2" s="493">
        <f t="shared" ref="AE2:AE10" si="2">AD2-AI2</f>
        <v>27</v>
      </c>
      <c r="AF2" s="553"/>
      <c r="AG2" s="547">
        <v>27</v>
      </c>
      <c r="AH2" s="385"/>
      <c r="AI2" s="385"/>
      <c r="AJ2" s="35">
        <v>2176.829999999999</v>
      </c>
      <c r="AK2" s="278">
        <v>2212.4799999999991</v>
      </c>
      <c r="AL2" s="586">
        <f t="shared" ref="AL2:AL10" si="3">AJ2/AD2</f>
        <v>80.623333333333292</v>
      </c>
      <c r="AM2" s="8">
        <f t="shared" ref="AM2:AM10" si="4">AK2/AD2</f>
        <v>81.943703703703676</v>
      </c>
      <c r="AN2" s="35">
        <v>4.9800000000000004</v>
      </c>
      <c r="AO2" s="35">
        <v>4.9000000000000004</v>
      </c>
      <c r="AP2" s="35">
        <v>401.69</v>
      </c>
      <c r="AQ2" s="53"/>
      <c r="AR2" s="53">
        <v>0.22</v>
      </c>
      <c r="AS2" s="53">
        <v>0.3</v>
      </c>
      <c r="AT2" s="53">
        <v>0.3</v>
      </c>
      <c r="AU2" s="53">
        <v>0.19</v>
      </c>
      <c r="AV2" s="8">
        <v>1400</v>
      </c>
      <c r="AW2" s="51"/>
      <c r="AX2" s="53">
        <f>AW2/O2</f>
        <v>0</v>
      </c>
      <c r="AY2" s="35">
        <v>3</v>
      </c>
      <c r="AZ2" s="34" t="s">
        <v>398</v>
      </c>
      <c r="BA2" s="547" t="s">
        <v>99</v>
      </c>
      <c r="BB2" s="34"/>
      <c r="BC2" s="34"/>
      <c r="BD2" s="34"/>
      <c r="BE2" s="34"/>
      <c r="BF2" s="74"/>
      <c r="BG2" s="74"/>
      <c r="BH2" s="126">
        <v>40816</v>
      </c>
      <c r="BI2" s="126"/>
      <c r="BJ2" s="140">
        <v>40267</v>
      </c>
      <c r="BK2" s="140">
        <v>40491</v>
      </c>
      <c r="BL2" s="64"/>
      <c r="BM2" s="659">
        <f t="shared" ref="BM2:BM10" si="5">(DATEDIF(BJ2,BK2,"d"))/30</f>
        <v>7.4666666666666668</v>
      </c>
      <c r="BN2" s="578"/>
      <c r="BO2" s="548"/>
      <c r="BP2" s="549"/>
      <c r="BQ2" s="567"/>
      <c r="BR2" s="567"/>
      <c r="BS2" s="72"/>
      <c r="BT2" s="72"/>
      <c r="BU2" s="201">
        <v>41307</v>
      </c>
      <c r="BV2" s="201">
        <f t="shared" ref="BV2:BV10" si="6">DATE(YEAR(BU2),MONTH(BU2)+24,DAY(BU2))</f>
        <v>42037</v>
      </c>
      <c r="BW2" s="201"/>
      <c r="BX2" s="201" t="str">
        <f t="shared" ref="BX2:BX10" si="7">IF(EL2&gt;BV2,"oui","non")</f>
        <v>non</v>
      </c>
      <c r="BY2" s="439">
        <f t="shared" ref="BY2:BY10" si="8">DATEDIF(EL2,BV2,"M")</f>
        <v>18</v>
      </c>
      <c r="BZ2" s="439">
        <f>BY2*EO2</f>
        <v>199818</v>
      </c>
      <c r="CA2" s="439">
        <f t="shared" ref="CA2:CA10" si="9">BW2-BZ2</f>
        <v>-199818</v>
      </c>
      <c r="CB2" s="81"/>
      <c r="CC2" s="74"/>
      <c r="CD2" s="74"/>
      <c r="CE2" s="326" t="str">
        <f t="shared" ref="CE2:CE10" si="10">IF(AND(CC2&gt;0,CD2&gt;0),CD2-CC2,"0")</f>
        <v>0</v>
      </c>
      <c r="CF2" s="81"/>
      <c r="CG2" s="81"/>
      <c r="CH2" s="326" t="str">
        <f t="shared" ref="CH2:CH10" si="11">IF(AND(CF2&gt;0,CG2&gt;0),CG2-CF2,"0")</f>
        <v>0</v>
      </c>
      <c r="CI2" s="83"/>
      <c r="CJ2" s="81"/>
      <c r="CK2" s="326" t="str">
        <f t="shared" ref="CK2:CK10" si="12">IF(AND(CI2&gt;0,CJ2&gt;0),CJ2-CI2,"0")</f>
        <v>0</v>
      </c>
      <c r="CL2" s="83"/>
      <c r="CM2" s="81"/>
      <c r="CN2" s="326" t="str">
        <f t="shared" ref="CN2:CN10" si="13">IF(AND(CL2&gt;0,CM2&gt;0),CM2-CL2,"0")</f>
        <v>0</v>
      </c>
      <c r="CO2" s="83"/>
      <c r="CP2" s="365"/>
      <c r="CQ2" s="326" t="str">
        <f t="shared" ref="CQ2:CQ10" si="14">IF(AND(CO2&gt;0,CP2&gt;0),CP2-CO2,"0")</f>
        <v>0</v>
      </c>
      <c r="CR2" s="292"/>
      <c r="CS2" s="159"/>
      <c r="CT2" s="81"/>
      <c r="CU2" s="159"/>
      <c r="CV2" s="326" t="str">
        <f t="shared" ref="CV2:CV10" si="15">IF(AND(CT2&gt;0,CU2&gt;0),CU2-CT2,"0")</f>
        <v>0</v>
      </c>
      <c r="CW2" s="81"/>
      <c r="CX2" s="237">
        <v>40721</v>
      </c>
      <c r="CY2" s="230">
        <v>2011</v>
      </c>
      <c r="CZ2" s="285">
        <f t="shared" ref="CZ2:CZ10" si="16">(DATEDIF(BK2,CX2,"d"))/30</f>
        <v>7.666666666666667</v>
      </c>
      <c r="DA2" s="326" t="str">
        <f t="shared" ref="DA2:DA10" si="17">IF(AND(CW2&gt;0,CX2&gt;0),CX2-CW2,"0")</f>
        <v>0</v>
      </c>
      <c r="DB2" s="83">
        <v>15</v>
      </c>
      <c r="DC2" s="83">
        <f t="shared" ref="DC2:DC10" si="18">DATEDIF(CX2,EC2,"M")</f>
        <v>24</v>
      </c>
      <c r="DD2" s="214"/>
      <c r="DE2" s="213"/>
      <c r="DF2" s="448" t="str">
        <f t="shared" ref="DF2:DF10" si="19">IF(AND(DD2&gt;0,DE2&gt;0),DE2-DD2,"0")</f>
        <v>0</v>
      </c>
      <c r="DG2" s="459"/>
      <c r="DH2" s="395"/>
      <c r="DI2" s="396" t="str">
        <f t="shared" ref="DI2:DI10" si="20">IF(AND(DG2&gt;0,DH2&gt;0),DH2-DG2,"0")</f>
        <v>0</v>
      </c>
      <c r="DJ2" s="179"/>
      <c r="DK2" s="214"/>
      <c r="DL2" s="448" t="str">
        <f t="shared" ref="DL2:DL10" si="21">IF(AND(DJ2&gt;0,DK2&gt;0),DK2-DJ2,"0")</f>
        <v>0</v>
      </c>
      <c r="DM2" s="213"/>
      <c r="DN2" s="214"/>
      <c r="DO2" s="448" t="str">
        <f t="shared" ref="DO2:DO10" si="22">IF(AND(DM2&gt;0,DN2&gt;0),DN2-DM2,"0")</f>
        <v>0</v>
      </c>
      <c r="DP2" s="219"/>
      <c r="DQ2" s="219"/>
      <c r="DR2" s="448" t="str">
        <f t="shared" ref="DR2:DR10" si="23">IF(AND(DP2&gt;0,DQ2&gt;0),DQ2-DP2,"0")</f>
        <v>0</v>
      </c>
      <c r="DS2" s="219"/>
      <c r="DT2" s="214"/>
      <c r="DU2" s="448" t="str">
        <f t="shared" ref="DU2:DU10" si="24">IF(AND(DS2&gt;0,DT2&gt;0),DT2-DS2,"0")</f>
        <v>0</v>
      </c>
      <c r="DV2" s="220"/>
      <c r="DW2" s="220"/>
      <c r="DX2" s="448" t="str">
        <f t="shared" ref="DX2:DX10" si="25">IF(AND(DV2&gt;0,DW2&gt;0),DW2-DV2,"0")</f>
        <v>0</v>
      </c>
      <c r="DY2" s="220"/>
      <c r="DZ2" s="220"/>
      <c r="EA2" s="220"/>
      <c r="EB2" s="383">
        <f t="shared" ref="EB2:EB10" si="26">DATE(YEAR(CX2),MONTH(CX2)+DB2,DAY(CX2))</f>
        <v>41179</v>
      </c>
      <c r="EC2" s="240">
        <v>41464</v>
      </c>
      <c r="ED2" s="469">
        <f t="shared" ref="ED2:ED10" si="27">(EC2-EB2)/30</f>
        <v>9.5</v>
      </c>
      <c r="EE2" s="619"/>
      <c r="EF2" s="382"/>
      <c r="EG2" s="73">
        <v>41606</v>
      </c>
      <c r="EH2" s="81" t="s">
        <v>105</v>
      </c>
      <c r="EI2" s="75">
        <v>41481</v>
      </c>
      <c r="EJ2" s="293"/>
      <c r="EK2" s="533">
        <f t="shared" ref="EK2:EK10" si="28">DATE(YEAR(EB2),MONTH(EB2)+1,DAY(EB2))</f>
        <v>41209</v>
      </c>
      <c r="EL2" s="240">
        <v>41481</v>
      </c>
      <c r="EM2" s="294">
        <v>2013</v>
      </c>
      <c r="EN2" s="467">
        <f t="shared" ref="EN2:EN10" si="29">(DATEDIF(EK2,EL2,"d"))/30</f>
        <v>9.0666666666666664</v>
      </c>
      <c r="EO2" s="458">
        <v>11101</v>
      </c>
      <c r="EP2" s="159">
        <f t="shared" ref="EP2:EP10" si="30">EO2*EN2</f>
        <v>100649.06666666667</v>
      </c>
      <c r="EQ2" s="84"/>
      <c r="ER2" s="349"/>
      <c r="ES2" s="454">
        <f t="shared" ref="ES2:ES10" si="31">HC2</f>
        <v>1409</v>
      </c>
      <c r="ET2" s="353"/>
      <c r="EU2" s="353"/>
      <c r="EV2" s="353"/>
      <c r="EW2" s="483">
        <f t="shared" ref="EW2:EW10" si="32">EV2/FZ2</f>
        <v>0</v>
      </c>
      <c r="EX2" s="350"/>
      <c r="EY2" s="362" t="s">
        <v>522</v>
      </c>
      <c r="EZ2" s="350"/>
      <c r="FA2" s="350"/>
      <c r="FB2" s="126">
        <f t="shared" ref="FB2:FB10" si="33">DATE(YEAR(DH2),MONTH(DH2)+24,DAY(DH2))</f>
        <v>731</v>
      </c>
      <c r="FC2" s="81"/>
      <c r="FD2" s="81"/>
      <c r="FE2" s="81"/>
      <c r="FF2" s="81"/>
      <c r="FG2" s="81"/>
      <c r="FH2" s="74"/>
      <c r="FI2" s="73">
        <f t="shared" ref="FI2:FI10" si="34">DATE(YEAR(EC2)+1,MONTH(EC2),DAY(EC2))</f>
        <v>41829</v>
      </c>
      <c r="FJ2" s="442">
        <v>51423</v>
      </c>
      <c r="FK2" s="73" t="s">
        <v>105</v>
      </c>
      <c r="FL2" s="73"/>
      <c r="FM2" s="73"/>
      <c r="FN2" s="73">
        <v>41926</v>
      </c>
      <c r="FO2" s="73" t="s">
        <v>215</v>
      </c>
      <c r="FP2" s="73"/>
      <c r="FQ2" s="73" t="s">
        <v>133</v>
      </c>
      <c r="FR2" s="73" t="s">
        <v>133</v>
      </c>
      <c r="FS2" s="73"/>
      <c r="FT2" s="73"/>
      <c r="FU2" s="73"/>
      <c r="FV2" s="132">
        <v>42114</v>
      </c>
      <c r="FW2" s="132" t="s">
        <v>105</v>
      </c>
      <c r="FX2" s="528"/>
      <c r="FY2" s="652">
        <f t="shared" ref="FY2:FY10" si="35">GE2+GH2+GM2+HC2+GL2+GR2+GP2+GQ2</f>
        <v>3574937</v>
      </c>
      <c r="FZ2" s="550">
        <f t="shared" ref="FZ2:FZ10" si="36">GE2+GH2+GM2+HC2+GL2+GR2+GP2+GQ2</f>
        <v>3574937</v>
      </c>
      <c r="GA2" s="500">
        <f>FZ2+GU2-HA2</f>
        <v>4931973.7537225001</v>
      </c>
      <c r="GB2" s="610">
        <f t="shared" ref="GB2:GB10" si="37">GM2+GN2+GR2</f>
        <v>1362028</v>
      </c>
      <c r="GC2" s="28">
        <f t="shared" ref="GC2:GC10" si="38">FZ2/AK2</f>
        <v>1615.8053406132492</v>
      </c>
      <c r="GD2" s="28">
        <f t="shared" ref="GD2:GD10" si="39">FZ2/AD2</f>
        <v>132405.07407407407</v>
      </c>
      <c r="GE2" s="12">
        <v>0</v>
      </c>
      <c r="GF2" s="417"/>
      <c r="GG2" s="16">
        <f t="shared" ref="GG2:GG10" si="40">GE2/AD2</f>
        <v>0</v>
      </c>
      <c r="GH2" s="9">
        <f t="shared" ref="GH2:GH10" si="41">+GI2+GJ2</f>
        <v>2306000</v>
      </c>
      <c r="GI2" s="10">
        <v>511146</v>
      </c>
      <c r="GJ2" s="10">
        <v>1794854</v>
      </c>
      <c r="GK2" s="407">
        <f t="shared" ref="GK2:GK10" si="42">GH2/AD2</f>
        <v>85407.407407407401</v>
      </c>
      <c r="GL2" s="9"/>
      <c r="GM2" s="12">
        <v>1267528</v>
      </c>
      <c r="GN2" s="44">
        <v>94500</v>
      </c>
      <c r="GO2" s="23">
        <f t="shared" ref="GO2:GO10" si="43">GM2/FZ2</f>
        <v>0.35455953489530023</v>
      </c>
      <c r="GP2" s="60"/>
      <c r="GQ2" s="60"/>
      <c r="GR2" s="12"/>
      <c r="GS2" s="28">
        <f t="shared" ref="GS2:GS10" si="44">GM2/AD2</f>
        <v>46945.481481481482</v>
      </c>
      <c r="GT2" s="28">
        <f t="shared" ref="GT2:GT10" si="45">(GE2+GM2)/AD2</f>
        <v>46945.481481481482</v>
      </c>
      <c r="GU2" s="680">
        <v>1627516.7537225003</v>
      </c>
      <c r="GV2" s="680">
        <v>656094.66</v>
      </c>
      <c r="GW2" s="680">
        <f>(GE2+GM2+GV2)/AD2</f>
        <v>71245.28370370371</v>
      </c>
      <c r="GX2" s="680">
        <v>760751.49324999994</v>
      </c>
      <c r="GY2" s="680">
        <f t="shared" ref="GY2:GY10" si="46">(GE2+GM2+GV2+GX2)/AD2</f>
        <v>99421.264935185187</v>
      </c>
      <c r="GZ2" s="681">
        <f t="shared" ref="GZ2:GZ10" si="47">(GE2+GM2+GV2+GX2)/(GU2+FZ2-HA2)</f>
        <v>0.54427989427638745</v>
      </c>
      <c r="HA2" s="680">
        <f>222180+48300</f>
        <v>270480</v>
      </c>
      <c r="HB2" s="680"/>
      <c r="HC2" s="9">
        <v>1409</v>
      </c>
      <c r="HD2" s="602"/>
      <c r="HE2" s="608">
        <f t="shared" ref="HE2:HE10" si="48">HD2/FZ2</f>
        <v>0</v>
      </c>
      <c r="HF2" s="616">
        <f t="shared" ref="HF2:HF10" si="49">FZ2-HD2</f>
        <v>3574937</v>
      </c>
      <c r="HG2" s="602">
        <f t="shared" ref="HG2:HG10" ca="1" si="50">IF(EE2&lt;DATEDIF(TODAY(),$HG$1,"M"),HF2,(HF2/EE2*DATEDIF(TODAY(),$HG$1,"M")))</f>
        <v>3574937</v>
      </c>
      <c r="HH2" s="602"/>
      <c r="HI2" s="602"/>
      <c r="HJ2" s="602">
        <f t="shared" ref="HJ2:HJ10" si="51">GB2-HI2</f>
        <v>1362028</v>
      </c>
      <c r="HK2" s="609">
        <f t="shared" ref="HK2:HK10" si="52">HI2/GB2</f>
        <v>0</v>
      </c>
      <c r="HL2" s="609"/>
      <c r="HM2" s="673">
        <v>436464</v>
      </c>
      <c r="HN2" s="62">
        <v>407560.68000000005</v>
      </c>
      <c r="HO2" s="673">
        <f>1056304.66+240805</f>
        <v>1297109.6599999999</v>
      </c>
      <c r="HP2" s="673">
        <f t="shared" ref="HP2:HP10" si="53">HQ2+HR2+HS2+HT2+HU2</f>
        <v>2482653.2400000002</v>
      </c>
      <c r="HQ2" s="539">
        <v>1000827.79</v>
      </c>
      <c r="HR2" s="539">
        <v>358444.61</v>
      </c>
      <c r="HS2" s="539">
        <v>136084.84</v>
      </c>
      <c r="HT2" s="539">
        <v>623711</v>
      </c>
      <c r="HU2" s="539">
        <v>363585</v>
      </c>
      <c r="HV2" s="673">
        <f>146168+543949</f>
        <v>690117</v>
      </c>
      <c r="HW2" s="673">
        <f t="shared" ref="HW2:HW10" si="54">HV2+HP2+HO2+HM2</f>
        <v>4906343.9000000004</v>
      </c>
      <c r="HX2" s="539">
        <f>HW2*1.021-GA2</f>
        <v>77403.368177499622</v>
      </c>
    </row>
    <row r="3" spans="1:232" ht="20.100000000000001" hidden="1" customHeight="1">
      <c r="A3" s="6" t="s">
        <v>120</v>
      </c>
      <c r="B3" s="6" t="s">
        <v>59</v>
      </c>
      <c r="C3" s="6" t="s">
        <v>92</v>
      </c>
      <c r="D3" s="6">
        <v>2010</v>
      </c>
      <c r="E3" s="6" t="s">
        <v>124</v>
      </c>
      <c r="F3" s="31" t="s">
        <v>23</v>
      </c>
      <c r="G3" s="490" t="s">
        <v>141</v>
      </c>
      <c r="H3" s="31" t="s">
        <v>187</v>
      </c>
      <c r="I3" s="31"/>
      <c r="J3" s="31"/>
      <c r="K3" s="270" t="s">
        <v>399</v>
      </c>
      <c r="L3" s="204"/>
      <c r="M3" s="204"/>
      <c r="N3" s="204"/>
      <c r="O3" s="142">
        <v>9462</v>
      </c>
      <c r="P3" s="142">
        <v>874165.66</v>
      </c>
      <c r="Q3" s="142">
        <v>262890</v>
      </c>
      <c r="R3" s="142">
        <f>P3/AD3</f>
        <v>29138.855333333333</v>
      </c>
      <c r="S3" s="142">
        <f>P3/O3</f>
        <v>92.386985838089203</v>
      </c>
      <c r="T3" s="142">
        <f>Q3/O3</f>
        <v>27.783766645529486</v>
      </c>
      <c r="U3" s="142">
        <f>Q3/AK3</f>
        <v>117.46438848277958</v>
      </c>
      <c r="V3" s="142">
        <f>Q3/AD3</f>
        <v>8763</v>
      </c>
      <c r="W3" s="142">
        <f>O3/AD3</f>
        <v>315.39999999999998</v>
      </c>
      <c r="X3" s="143">
        <v>379.2</v>
      </c>
      <c r="Y3" s="522">
        <f t="shared" si="0"/>
        <v>31.705770450221941</v>
      </c>
      <c r="Z3" s="143" t="s">
        <v>163</v>
      </c>
      <c r="AA3" s="143"/>
      <c r="AB3" s="143"/>
      <c r="AC3" s="31" t="s">
        <v>10</v>
      </c>
      <c r="AD3" s="493">
        <f t="shared" si="1"/>
        <v>30</v>
      </c>
      <c r="AE3" s="493">
        <f t="shared" si="2"/>
        <v>30</v>
      </c>
      <c r="AF3" s="272"/>
      <c r="AG3" s="37">
        <v>30</v>
      </c>
      <c r="AH3" s="272"/>
      <c r="AI3" s="272"/>
      <c r="AJ3" s="35">
        <v>2229.46</v>
      </c>
      <c r="AK3" s="276">
        <v>2238.04</v>
      </c>
      <c r="AL3" s="586">
        <f t="shared" si="3"/>
        <v>74.315333333333328</v>
      </c>
      <c r="AM3" s="35">
        <f t="shared" si="4"/>
        <v>74.601333333333329</v>
      </c>
      <c r="AN3" s="35">
        <v>5.05</v>
      </c>
      <c r="AO3" s="35">
        <v>5.03</v>
      </c>
      <c r="AP3" s="35">
        <v>375.57</v>
      </c>
      <c r="AQ3" s="53"/>
      <c r="AR3" s="53">
        <v>0.17</v>
      </c>
      <c r="AS3" s="53">
        <v>0.37</v>
      </c>
      <c r="AT3" s="53">
        <v>0.33</v>
      </c>
      <c r="AU3" s="53">
        <v>0.13</v>
      </c>
      <c r="AV3" s="35">
        <v>1419.56</v>
      </c>
      <c r="AW3" s="51">
        <v>664</v>
      </c>
      <c r="AX3" s="53">
        <f>AW3/O3</f>
        <v>7.0175438596491224E-2</v>
      </c>
      <c r="AY3" s="35"/>
      <c r="AZ3" s="34" t="s">
        <v>398</v>
      </c>
      <c r="BA3" s="34" t="s">
        <v>99</v>
      </c>
      <c r="BB3" s="34"/>
      <c r="BC3" s="34"/>
      <c r="BD3" s="34"/>
      <c r="BE3" s="34"/>
      <c r="BF3" s="31"/>
      <c r="BG3" s="31"/>
      <c r="BH3" s="126">
        <v>40816</v>
      </c>
      <c r="BI3" s="126"/>
      <c r="BJ3" s="660">
        <v>40267</v>
      </c>
      <c r="BK3" s="660">
        <v>40491</v>
      </c>
      <c r="BL3" s="661"/>
      <c r="BM3" s="659">
        <f t="shared" si="5"/>
        <v>7.4666666666666668</v>
      </c>
      <c r="BN3" s="578"/>
      <c r="BO3" s="72"/>
      <c r="BP3" s="567"/>
      <c r="BQ3" s="567"/>
      <c r="BR3" s="567"/>
      <c r="BS3" s="72"/>
      <c r="BT3" s="72"/>
      <c r="BU3" s="201">
        <v>41308</v>
      </c>
      <c r="BV3" s="201">
        <f t="shared" si="6"/>
        <v>42038</v>
      </c>
      <c r="BW3" s="201"/>
      <c r="BX3" s="201" t="str">
        <f t="shared" si="7"/>
        <v>non</v>
      </c>
      <c r="BY3" s="439">
        <f t="shared" si="8"/>
        <v>12</v>
      </c>
      <c r="BZ3" s="439">
        <f>BY3*EO3</f>
        <v>143136</v>
      </c>
      <c r="CA3" s="439">
        <f t="shared" si="9"/>
        <v>-143136</v>
      </c>
      <c r="CB3" s="81"/>
      <c r="CC3" s="81"/>
      <c r="CD3" s="81"/>
      <c r="CE3" s="326" t="str">
        <f t="shared" si="10"/>
        <v>0</v>
      </c>
      <c r="CF3" s="81"/>
      <c r="CG3" s="81"/>
      <c r="CH3" s="326" t="str">
        <f t="shared" si="11"/>
        <v>0</v>
      </c>
      <c r="CI3" s="81"/>
      <c r="CJ3" s="81"/>
      <c r="CK3" s="326" t="str">
        <f t="shared" si="12"/>
        <v>0</v>
      </c>
      <c r="CL3" s="81"/>
      <c r="CM3" s="81"/>
      <c r="CN3" s="326" t="str">
        <f t="shared" si="13"/>
        <v>0</v>
      </c>
      <c r="CO3" s="83"/>
      <c r="CP3" s="365"/>
      <c r="CQ3" s="326" t="str">
        <f t="shared" si="14"/>
        <v>0</v>
      </c>
      <c r="CR3" s="292"/>
      <c r="CS3" s="159"/>
      <c r="CT3" s="81"/>
      <c r="CU3" s="159"/>
      <c r="CV3" s="326" t="str">
        <f t="shared" si="15"/>
        <v>0</v>
      </c>
      <c r="CW3" s="81"/>
      <c r="CX3" s="237">
        <v>40945</v>
      </c>
      <c r="CY3" s="230">
        <v>2012</v>
      </c>
      <c r="CZ3" s="285">
        <f t="shared" si="16"/>
        <v>15.133333333333333</v>
      </c>
      <c r="DA3" s="326" t="str">
        <f t="shared" si="17"/>
        <v>0</v>
      </c>
      <c r="DB3" s="83">
        <v>15</v>
      </c>
      <c r="DC3" s="83">
        <f t="shared" si="18"/>
        <v>21</v>
      </c>
      <c r="DD3" s="214"/>
      <c r="DE3" s="213"/>
      <c r="DF3" s="448" t="str">
        <f t="shared" si="19"/>
        <v>0</v>
      </c>
      <c r="DG3" s="459"/>
      <c r="DH3" s="395"/>
      <c r="DI3" s="396" t="str">
        <f t="shared" si="20"/>
        <v>0</v>
      </c>
      <c r="DJ3" s="179"/>
      <c r="DK3" s="214"/>
      <c r="DL3" s="448" t="str">
        <f t="shared" si="21"/>
        <v>0</v>
      </c>
      <c r="DM3" s="213"/>
      <c r="DN3" s="214"/>
      <c r="DO3" s="448" t="str">
        <f t="shared" si="22"/>
        <v>0</v>
      </c>
      <c r="DP3" s="219"/>
      <c r="DQ3" s="219"/>
      <c r="DR3" s="448" t="str">
        <f t="shared" si="23"/>
        <v>0</v>
      </c>
      <c r="DS3" s="219"/>
      <c r="DT3" s="220"/>
      <c r="DU3" s="448" t="str">
        <f t="shared" si="24"/>
        <v>0</v>
      </c>
      <c r="DV3" s="214"/>
      <c r="DW3" s="214"/>
      <c r="DX3" s="448" t="str">
        <f t="shared" si="25"/>
        <v>0</v>
      </c>
      <c r="DY3" s="220"/>
      <c r="DZ3" s="220"/>
      <c r="EA3" s="220"/>
      <c r="EB3" s="383">
        <f t="shared" si="26"/>
        <v>41400</v>
      </c>
      <c r="EC3" s="240">
        <v>41601</v>
      </c>
      <c r="ED3" s="469">
        <f t="shared" si="27"/>
        <v>6.7</v>
      </c>
      <c r="EE3" s="619"/>
      <c r="EF3" s="382"/>
      <c r="EG3" s="84">
        <v>41669</v>
      </c>
      <c r="EH3" s="81" t="s">
        <v>105</v>
      </c>
      <c r="EI3" s="127">
        <v>41663</v>
      </c>
      <c r="EJ3" s="478"/>
      <c r="EK3" s="533">
        <f t="shared" si="28"/>
        <v>41431</v>
      </c>
      <c r="EL3" s="384">
        <v>41663</v>
      </c>
      <c r="EM3" s="380">
        <v>2014</v>
      </c>
      <c r="EN3" s="464">
        <f t="shared" si="29"/>
        <v>7.7333333333333334</v>
      </c>
      <c r="EO3" s="458">
        <v>11928</v>
      </c>
      <c r="EP3" s="159">
        <f t="shared" si="30"/>
        <v>92243.199999999997</v>
      </c>
      <c r="EQ3" s="127"/>
      <c r="ER3" s="349"/>
      <c r="ES3" s="454">
        <f t="shared" si="31"/>
        <v>70784</v>
      </c>
      <c r="ET3" s="353"/>
      <c r="EU3" s="353"/>
      <c r="EV3" s="353"/>
      <c r="EW3" s="483">
        <f t="shared" si="32"/>
        <v>0</v>
      </c>
      <c r="EX3" s="350"/>
      <c r="EY3" s="362" t="s">
        <v>528</v>
      </c>
      <c r="EZ3" s="350"/>
      <c r="FA3" s="350"/>
      <c r="FB3" s="126">
        <f t="shared" si="33"/>
        <v>731</v>
      </c>
      <c r="FC3" s="81"/>
      <c r="FD3" s="81"/>
      <c r="FE3" s="81" t="s">
        <v>105</v>
      </c>
      <c r="FF3" s="81" t="s">
        <v>105</v>
      </c>
      <c r="FG3" s="81"/>
      <c r="FH3" s="73">
        <v>42697</v>
      </c>
      <c r="FI3" s="73">
        <f t="shared" si="34"/>
        <v>41966</v>
      </c>
      <c r="FJ3" s="442">
        <v>59348.24</v>
      </c>
      <c r="FK3" s="73" t="s">
        <v>105</v>
      </c>
      <c r="FL3" s="73"/>
      <c r="FM3" s="73"/>
      <c r="FN3" s="73">
        <v>41925</v>
      </c>
      <c r="FO3" s="73">
        <v>41928</v>
      </c>
      <c r="FP3" s="73"/>
      <c r="FQ3" s="73"/>
      <c r="FR3" s="73" t="s">
        <v>133</v>
      </c>
      <c r="FS3" s="73"/>
      <c r="FT3" s="73"/>
      <c r="FU3" s="73"/>
      <c r="FV3" s="73"/>
      <c r="FW3" s="73" t="s">
        <v>105</v>
      </c>
      <c r="FX3" s="528"/>
      <c r="FY3" s="652">
        <f t="shared" si="35"/>
        <v>3911389</v>
      </c>
      <c r="FZ3" s="550">
        <f t="shared" si="36"/>
        <v>3911389</v>
      </c>
      <c r="GA3" s="500">
        <f t="shared" ref="GA3:GA10" si="55">FZ3</f>
        <v>3911389</v>
      </c>
      <c r="GB3" s="610">
        <f t="shared" si="37"/>
        <v>1359605</v>
      </c>
      <c r="GC3" s="28">
        <f t="shared" si="38"/>
        <v>1747.6850279709031</v>
      </c>
      <c r="GD3" s="28">
        <f t="shared" si="39"/>
        <v>130379.63333333333</v>
      </c>
      <c r="GE3" s="12">
        <v>0</v>
      </c>
      <c r="GF3" s="417"/>
      <c r="GG3" s="28">
        <f t="shared" si="40"/>
        <v>0</v>
      </c>
      <c r="GH3" s="45">
        <f t="shared" si="41"/>
        <v>2481000</v>
      </c>
      <c r="GI3" s="59">
        <v>486094</v>
      </c>
      <c r="GJ3" s="59">
        <v>1994906</v>
      </c>
      <c r="GK3" s="407">
        <f t="shared" si="42"/>
        <v>82700</v>
      </c>
      <c r="GL3" s="45"/>
      <c r="GM3" s="44">
        <v>1359605</v>
      </c>
      <c r="GN3" s="44"/>
      <c r="GO3" s="23">
        <f t="shared" si="43"/>
        <v>0.34760158092176463</v>
      </c>
      <c r="GP3" s="60"/>
      <c r="GQ3" s="60"/>
      <c r="GR3" s="44"/>
      <c r="GS3" s="28">
        <f t="shared" si="44"/>
        <v>45320.166666666664</v>
      </c>
      <c r="GT3" s="28">
        <f t="shared" si="45"/>
        <v>45320.166666666664</v>
      </c>
      <c r="GU3" s="682">
        <v>2106869</v>
      </c>
      <c r="GV3" s="682">
        <v>550000</v>
      </c>
      <c r="GW3" s="682">
        <f>(GE3+GM3+GV3)/AD3</f>
        <v>63653.5</v>
      </c>
      <c r="GX3" s="682">
        <v>1220907.39295</v>
      </c>
      <c r="GY3" s="682">
        <f t="shared" si="46"/>
        <v>104350.41309833335</v>
      </c>
      <c r="GZ3" s="681">
        <f t="shared" si="47"/>
        <v>0.5439291445742479</v>
      </c>
      <c r="HA3" s="682">
        <v>262890</v>
      </c>
      <c r="HB3" s="682"/>
      <c r="HC3" s="45">
        <v>70784</v>
      </c>
      <c r="HD3" s="602"/>
      <c r="HE3" s="608">
        <f t="shared" si="48"/>
        <v>0</v>
      </c>
      <c r="HF3" s="616">
        <f t="shared" si="49"/>
        <v>3911389</v>
      </c>
      <c r="HG3" s="602">
        <f t="shared" ca="1" si="50"/>
        <v>3911389</v>
      </c>
      <c r="HH3" s="602"/>
      <c r="HI3" s="602"/>
      <c r="HJ3" s="602">
        <f t="shared" si="51"/>
        <v>1359605</v>
      </c>
      <c r="HK3" s="609">
        <f t="shared" si="52"/>
        <v>0</v>
      </c>
      <c r="HL3" s="609"/>
      <c r="HM3" s="673"/>
      <c r="HN3" s="62"/>
      <c r="HO3" s="673"/>
      <c r="HP3" s="673">
        <f t="shared" si="53"/>
        <v>0</v>
      </c>
      <c r="HQ3" s="539"/>
      <c r="HR3" s="539"/>
      <c r="HS3" s="539"/>
      <c r="HT3" s="539"/>
      <c r="HU3" s="539"/>
      <c r="HV3" s="673"/>
      <c r="HW3" s="673">
        <f t="shared" si="54"/>
        <v>0</v>
      </c>
      <c r="HX3" s="539">
        <f>HW3*1.021-GA3</f>
        <v>-3911389</v>
      </c>
    </row>
    <row r="4" spans="1:232" ht="20.100000000000001" hidden="1" customHeight="1">
      <c r="A4" s="6" t="s">
        <v>79</v>
      </c>
      <c r="B4" s="6" t="s">
        <v>20</v>
      </c>
      <c r="C4" s="6" t="s">
        <v>91</v>
      </c>
      <c r="D4" s="6">
        <v>2011</v>
      </c>
      <c r="E4" s="6" t="s">
        <v>82</v>
      </c>
      <c r="F4" s="6" t="s">
        <v>40</v>
      </c>
      <c r="G4" s="490" t="s">
        <v>142</v>
      </c>
      <c r="H4" s="31" t="s">
        <v>187</v>
      </c>
      <c r="I4" s="31"/>
      <c r="J4" s="31"/>
      <c r="K4" s="180"/>
      <c r="L4" s="277"/>
      <c r="M4" s="277"/>
      <c r="N4" s="277"/>
      <c r="O4" s="142">
        <f>2009+396</f>
        <v>2405</v>
      </c>
      <c r="P4" s="142">
        <v>133800</v>
      </c>
      <c r="Q4" s="142">
        <v>120788</v>
      </c>
      <c r="R4" s="142">
        <f>P4/AD4</f>
        <v>9557.1428571428569</v>
      </c>
      <c r="S4" s="142">
        <f>P4/O4</f>
        <v>55.634095634095637</v>
      </c>
      <c r="T4" s="142">
        <f>Q4/O4</f>
        <v>50.223700623700623</v>
      </c>
      <c r="U4" s="142">
        <f>Q4/AK4</f>
        <v>102.03671321287075</v>
      </c>
      <c r="V4" s="142">
        <f>Q4/AD4</f>
        <v>8627.7142857142862</v>
      </c>
      <c r="W4" s="142">
        <f>O4/AD4</f>
        <v>171.78571428571428</v>
      </c>
      <c r="X4" s="143"/>
      <c r="Y4" s="522">
        <f t="shared" si="0"/>
        <v>58.21205821205821</v>
      </c>
      <c r="Z4" s="143" t="s">
        <v>163</v>
      </c>
      <c r="AA4" s="145"/>
      <c r="AB4" s="145"/>
      <c r="AC4" s="6" t="s">
        <v>10</v>
      </c>
      <c r="AD4" s="493">
        <f t="shared" si="1"/>
        <v>14</v>
      </c>
      <c r="AE4" s="493">
        <f t="shared" si="2"/>
        <v>14</v>
      </c>
      <c r="AF4" s="553"/>
      <c r="AG4" s="6">
        <v>14</v>
      </c>
      <c r="AH4" s="272"/>
      <c r="AI4" s="272"/>
      <c r="AJ4" s="35">
        <v>1008.77</v>
      </c>
      <c r="AK4" s="278">
        <v>1183.77</v>
      </c>
      <c r="AL4" s="586">
        <f t="shared" si="3"/>
        <v>72.054999999999993</v>
      </c>
      <c r="AM4" s="8">
        <f t="shared" si="4"/>
        <v>84.554999999999993</v>
      </c>
      <c r="AN4" s="35">
        <v>5.74</v>
      </c>
      <c r="AO4" s="35">
        <v>4.8899999999999997</v>
      </c>
      <c r="AP4" s="35">
        <v>413.51</v>
      </c>
      <c r="AQ4" s="35"/>
      <c r="AR4" s="35"/>
      <c r="AS4" s="35"/>
      <c r="AT4" s="35"/>
      <c r="AU4" s="35"/>
      <c r="AV4" s="8">
        <v>600</v>
      </c>
      <c r="AW4" s="51" t="s">
        <v>235</v>
      </c>
      <c r="AX4" s="53" t="e">
        <f>AW4/O4</f>
        <v>#VALUE!</v>
      </c>
      <c r="AY4" s="35">
        <v>2</v>
      </c>
      <c r="AZ4" s="34" t="s">
        <v>398</v>
      </c>
      <c r="BA4" s="547" t="s">
        <v>98</v>
      </c>
      <c r="BB4" s="34"/>
      <c r="BC4" s="34"/>
      <c r="BD4" s="34"/>
      <c r="BE4" s="34"/>
      <c r="BF4" s="31"/>
      <c r="BG4" s="31"/>
      <c r="BH4" s="126">
        <v>40816</v>
      </c>
      <c r="BI4" s="126"/>
      <c r="BJ4" s="660">
        <v>40632</v>
      </c>
      <c r="BK4" s="660">
        <v>40884</v>
      </c>
      <c r="BL4" s="661"/>
      <c r="BM4" s="659">
        <f t="shared" si="5"/>
        <v>8.4</v>
      </c>
      <c r="BN4" s="578"/>
      <c r="BO4" s="548"/>
      <c r="BP4" s="549"/>
      <c r="BQ4" s="567"/>
      <c r="BR4" s="567"/>
      <c r="BS4" s="72"/>
      <c r="BT4" s="72"/>
      <c r="BU4" s="201">
        <v>41315</v>
      </c>
      <c r="BV4" s="201">
        <f t="shared" si="6"/>
        <v>42045</v>
      </c>
      <c r="BW4" s="201"/>
      <c r="BX4" s="201" t="str">
        <f t="shared" si="7"/>
        <v>non</v>
      </c>
      <c r="BY4" s="439">
        <f t="shared" si="8"/>
        <v>8</v>
      </c>
      <c r="BZ4" s="439">
        <f>BY4*EO4</f>
        <v>47712</v>
      </c>
      <c r="CA4" s="439">
        <f t="shared" si="9"/>
        <v>-47712</v>
      </c>
      <c r="CB4" s="81"/>
      <c r="CC4" s="81"/>
      <c r="CD4" s="81"/>
      <c r="CE4" s="326" t="str">
        <f t="shared" si="10"/>
        <v>0</v>
      </c>
      <c r="CF4" s="81"/>
      <c r="CG4" s="81"/>
      <c r="CH4" s="326" t="str">
        <f t="shared" si="11"/>
        <v>0</v>
      </c>
      <c r="CI4" s="81"/>
      <c r="CJ4" s="81"/>
      <c r="CK4" s="326" t="str">
        <f t="shared" si="12"/>
        <v>0</v>
      </c>
      <c r="CL4" s="81"/>
      <c r="CM4" s="81"/>
      <c r="CN4" s="326" t="str">
        <f t="shared" si="13"/>
        <v>0</v>
      </c>
      <c r="CO4" s="83"/>
      <c r="CP4" s="365"/>
      <c r="CQ4" s="326" t="str">
        <f t="shared" si="14"/>
        <v>0</v>
      </c>
      <c r="CR4" s="292"/>
      <c r="CS4" s="159"/>
      <c r="CT4" s="81"/>
      <c r="CU4" s="159"/>
      <c r="CV4" s="326" t="str">
        <f t="shared" si="15"/>
        <v>0</v>
      </c>
      <c r="CW4" s="81"/>
      <c r="CX4" s="237">
        <v>40970</v>
      </c>
      <c r="CY4" s="230">
        <v>2012</v>
      </c>
      <c r="CZ4" s="285">
        <f t="shared" si="16"/>
        <v>2.8666666666666667</v>
      </c>
      <c r="DA4" s="326" t="str">
        <f t="shared" si="17"/>
        <v>0</v>
      </c>
      <c r="DB4" s="83">
        <v>12</v>
      </c>
      <c r="DC4" s="83">
        <f t="shared" si="18"/>
        <v>20</v>
      </c>
      <c r="DD4" s="214"/>
      <c r="DE4" s="213"/>
      <c r="DF4" s="448" t="str">
        <f t="shared" si="19"/>
        <v>0</v>
      </c>
      <c r="DG4" s="459"/>
      <c r="DH4" s="395"/>
      <c r="DI4" s="396" t="str">
        <f t="shared" si="20"/>
        <v>0</v>
      </c>
      <c r="DJ4" s="179"/>
      <c r="DK4" s="214">
        <f ca="1">IF(DJ4&lt;TODAY(),TODAY(),DJ4)</f>
        <v>43950</v>
      </c>
      <c r="DL4" s="448" t="str">
        <f t="shared" ca="1" si="21"/>
        <v>0</v>
      </c>
      <c r="DM4" s="213"/>
      <c r="DN4" s="214"/>
      <c r="DO4" s="448" t="str">
        <f t="shared" si="22"/>
        <v>0</v>
      </c>
      <c r="DP4" s="219"/>
      <c r="DQ4" s="219"/>
      <c r="DR4" s="448" t="str">
        <f t="shared" si="23"/>
        <v>0</v>
      </c>
      <c r="DS4" s="219"/>
      <c r="DT4" s="220"/>
      <c r="DU4" s="448" t="str">
        <f t="shared" si="24"/>
        <v>0</v>
      </c>
      <c r="DV4" s="214"/>
      <c r="DW4" s="214"/>
      <c r="DX4" s="448" t="str">
        <f t="shared" si="25"/>
        <v>0</v>
      </c>
      <c r="DY4" s="220"/>
      <c r="DZ4" s="220"/>
      <c r="EA4" s="220"/>
      <c r="EB4" s="293">
        <f t="shared" si="26"/>
        <v>41335</v>
      </c>
      <c r="EC4" s="240">
        <v>41583</v>
      </c>
      <c r="ED4" s="469">
        <f t="shared" si="27"/>
        <v>8.2666666666666675</v>
      </c>
      <c r="EE4" s="619"/>
      <c r="EF4" s="382"/>
      <c r="EG4" s="84">
        <v>41627</v>
      </c>
      <c r="EH4" s="84" t="s">
        <v>105</v>
      </c>
      <c r="EI4" s="84">
        <v>41774</v>
      </c>
      <c r="EJ4" s="382"/>
      <c r="EK4" s="533">
        <f t="shared" si="28"/>
        <v>41366</v>
      </c>
      <c r="EL4" s="240">
        <v>41774</v>
      </c>
      <c r="EM4" s="380">
        <v>2014</v>
      </c>
      <c r="EN4" s="463">
        <f t="shared" si="29"/>
        <v>13.6</v>
      </c>
      <c r="EO4" s="458">
        <v>5964</v>
      </c>
      <c r="EP4" s="159">
        <f t="shared" si="30"/>
        <v>81110.399999999994</v>
      </c>
      <c r="EQ4" s="84"/>
      <c r="ER4" s="349"/>
      <c r="ES4" s="454">
        <f t="shared" si="31"/>
        <v>253357.88</v>
      </c>
      <c r="ET4" s="353"/>
      <c r="EU4" s="353"/>
      <c r="EV4" s="353"/>
      <c r="EW4" s="483">
        <f t="shared" si="32"/>
        <v>0</v>
      </c>
      <c r="EX4" s="350"/>
      <c r="EY4" s="362" t="s">
        <v>530</v>
      </c>
      <c r="EZ4" s="350"/>
      <c r="FA4" s="350"/>
      <c r="FB4" s="126">
        <f t="shared" si="33"/>
        <v>731</v>
      </c>
      <c r="FC4" s="81"/>
      <c r="FD4" s="81"/>
      <c r="FE4" s="81"/>
      <c r="FF4" s="81"/>
      <c r="FG4" s="81">
        <v>41661</v>
      </c>
      <c r="FH4" s="74" t="s">
        <v>105</v>
      </c>
      <c r="FI4" s="81">
        <f t="shared" si="34"/>
        <v>41948</v>
      </c>
      <c r="FJ4" s="442">
        <v>31451.360000000001</v>
      </c>
      <c r="FK4" s="81" t="s">
        <v>105</v>
      </c>
      <c r="FL4" s="81"/>
      <c r="FM4" s="81"/>
      <c r="FN4" s="81">
        <v>41919</v>
      </c>
      <c r="FO4" s="81">
        <v>41925</v>
      </c>
      <c r="FP4" s="81"/>
      <c r="FQ4" s="81"/>
      <c r="FR4" s="81" t="s">
        <v>133</v>
      </c>
      <c r="FS4" s="81"/>
      <c r="FT4" s="81"/>
      <c r="FU4" s="81"/>
      <c r="FV4" s="81"/>
      <c r="FW4" s="81" t="s">
        <v>105</v>
      </c>
      <c r="FX4" s="528"/>
      <c r="FY4" s="652">
        <f t="shared" si="35"/>
        <v>2160353.88</v>
      </c>
      <c r="FZ4" s="550">
        <f t="shared" si="36"/>
        <v>2160353.88</v>
      </c>
      <c r="GA4" s="500">
        <f t="shared" si="55"/>
        <v>2160353.88</v>
      </c>
      <c r="GB4" s="610">
        <f t="shared" si="37"/>
        <v>691584</v>
      </c>
      <c r="GC4" s="28">
        <f t="shared" si="38"/>
        <v>1824.9777237132212</v>
      </c>
      <c r="GD4" s="28">
        <f t="shared" si="39"/>
        <v>154310.99142857143</v>
      </c>
      <c r="GE4" s="12">
        <v>0</v>
      </c>
      <c r="GF4" s="417"/>
      <c r="GG4" s="16">
        <f t="shared" si="40"/>
        <v>0</v>
      </c>
      <c r="GH4" s="9">
        <f t="shared" si="41"/>
        <v>1285412</v>
      </c>
      <c r="GI4" s="10">
        <v>305730</v>
      </c>
      <c r="GJ4" s="10">
        <v>979682</v>
      </c>
      <c r="GK4" s="407">
        <f t="shared" si="42"/>
        <v>91815.142857142855</v>
      </c>
      <c r="GL4" s="9"/>
      <c r="GM4" s="12">
        <v>620464</v>
      </c>
      <c r="GN4" s="44">
        <v>70000</v>
      </c>
      <c r="GO4" s="23">
        <f t="shared" si="43"/>
        <v>0.2872047981324245</v>
      </c>
      <c r="GP4" s="60"/>
      <c r="GQ4" s="60"/>
      <c r="GR4" s="12">
        <v>1120</v>
      </c>
      <c r="GS4" s="28">
        <f t="shared" si="44"/>
        <v>44318.857142857145</v>
      </c>
      <c r="GT4" s="28">
        <f t="shared" si="45"/>
        <v>44318.857142857145</v>
      </c>
      <c r="GU4" s="680">
        <v>715424.22886499984</v>
      </c>
      <c r="GV4" s="680">
        <v>280000</v>
      </c>
      <c r="GW4" s="680">
        <f>(GE4+GM4+GV4)/AD4</f>
        <v>64318.857142857145</v>
      </c>
      <c r="GX4" s="680">
        <v>259894.04</v>
      </c>
      <c r="GY4" s="680">
        <f t="shared" si="46"/>
        <v>82882.717142857146</v>
      </c>
      <c r="GZ4" s="681">
        <f t="shared" si="47"/>
        <v>0.42157224193605547</v>
      </c>
      <c r="HA4" s="680">
        <v>123324.49695</v>
      </c>
      <c r="HB4" s="680"/>
      <c r="HC4" s="9">
        <v>253357.88</v>
      </c>
      <c r="HD4" s="602"/>
      <c r="HE4" s="608">
        <f t="shared" si="48"/>
        <v>0</v>
      </c>
      <c r="HF4" s="616">
        <f t="shared" si="49"/>
        <v>2160353.88</v>
      </c>
      <c r="HG4" s="602">
        <f t="shared" ca="1" si="50"/>
        <v>2160353.88</v>
      </c>
      <c r="HH4" s="602"/>
      <c r="HI4" s="602"/>
      <c r="HJ4" s="602">
        <f t="shared" si="51"/>
        <v>691584</v>
      </c>
      <c r="HK4" s="609">
        <f t="shared" si="52"/>
        <v>0</v>
      </c>
      <c r="HL4" s="609"/>
      <c r="HM4" s="673"/>
      <c r="HN4" s="62"/>
      <c r="HO4" s="673"/>
      <c r="HP4" s="673">
        <f t="shared" si="53"/>
        <v>0</v>
      </c>
      <c r="HQ4" s="539"/>
      <c r="HR4" s="539"/>
      <c r="HS4" s="539"/>
      <c r="HT4" s="539"/>
      <c r="HU4" s="539"/>
      <c r="HV4" s="673"/>
      <c r="HW4" s="673">
        <f t="shared" si="54"/>
        <v>0</v>
      </c>
      <c r="HX4" s="539">
        <f>HW4*1.021-GA4</f>
        <v>-2160353.88</v>
      </c>
    </row>
    <row r="5" spans="1:232" ht="20.100000000000001" hidden="1" customHeight="1">
      <c r="A5" s="6" t="s">
        <v>88</v>
      </c>
      <c r="B5" s="6" t="s">
        <v>20</v>
      </c>
      <c r="C5" s="6" t="s">
        <v>91</v>
      </c>
      <c r="D5" s="6">
        <v>2011</v>
      </c>
      <c r="E5" s="6" t="s">
        <v>84</v>
      </c>
      <c r="F5" s="6"/>
      <c r="G5" s="490"/>
      <c r="H5" s="31" t="s">
        <v>187</v>
      </c>
      <c r="I5" s="31"/>
      <c r="J5" s="31"/>
      <c r="K5" s="270" t="s">
        <v>434</v>
      </c>
      <c r="L5" s="277"/>
      <c r="M5" s="277"/>
      <c r="N5" s="277"/>
      <c r="O5" s="43"/>
      <c r="P5" s="43"/>
      <c r="Q5" s="43"/>
      <c r="R5" s="43"/>
      <c r="S5" s="43"/>
      <c r="T5" s="43"/>
      <c r="U5" s="43"/>
      <c r="V5" s="43"/>
      <c r="W5" s="43"/>
      <c r="X5" s="43"/>
      <c r="Y5" s="43" t="e">
        <f t="shared" si="0"/>
        <v>#DIV/0!</v>
      </c>
      <c r="Z5" s="43"/>
      <c r="AA5" s="145"/>
      <c r="AB5" s="145"/>
      <c r="AC5" s="6" t="s">
        <v>10</v>
      </c>
      <c r="AD5" s="493">
        <f t="shared" si="1"/>
        <v>16</v>
      </c>
      <c r="AE5" s="493">
        <f t="shared" si="2"/>
        <v>16</v>
      </c>
      <c r="AF5" s="7"/>
      <c r="AG5" s="6">
        <v>16</v>
      </c>
      <c r="AH5" s="272"/>
      <c r="AI5" s="272"/>
      <c r="AJ5" s="798">
        <v>1252.9999999999998</v>
      </c>
      <c r="AK5" s="278">
        <v>1432.77</v>
      </c>
      <c r="AL5" s="586">
        <f t="shared" si="3"/>
        <v>78.312499999999986</v>
      </c>
      <c r="AM5" s="8">
        <f t="shared" si="4"/>
        <v>89.548124999999999</v>
      </c>
      <c r="AN5" s="35">
        <v>5.51</v>
      </c>
      <c r="AO5" s="35">
        <v>4.82</v>
      </c>
      <c r="AP5" s="35">
        <v>431</v>
      </c>
      <c r="AQ5" s="35"/>
      <c r="AR5" s="35"/>
      <c r="AS5" s="35"/>
      <c r="AT5" s="35"/>
      <c r="AU5" s="35"/>
      <c r="AV5" s="7"/>
      <c r="AW5" s="124"/>
      <c r="AX5" s="70"/>
      <c r="AY5" s="35">
        <v>2.5</v>
      </c>
      <c r="AZ5" s="34" t="s">
        <v>398</v>
      </c>
      <c r="BA5" s="547" t="s">
        <v>98</v>
      </c>
      <c r="BB5" s="34"/>
      <c r="BC5" s="34"/>
      <c r="BD5" s="34"/>
      <c r="BE5" s="34"/>
      <c r="BF5" s="31"/>
      <c r="BG5" s="31"/>
      <c r="BH5" s="126">
        <v>40816</v>
      </c>
      <c r="BI5" s="126"/>
      <c r="BJ5" s="660">
        <v>40632</v>
      </c>
      <c r="BK5" s="660">
        <v>40722</v>
      </c>
      <c r="BL5" s="661">
        <v>42291</v>
      </c>
      <c r="BM5" s="659">
        <f t="shared" si="5"/>
        <v>3</v>
      </c>
      <c r="BN5" s="578"/>
      <c r="BO5" s="548"/>
      <c r="BP5" s="549"/>
      <c r="BQ5" s="567"/>
      <c r="BR5" s="567"/>
      <c r="BS5" s="72"/>
      <c r="BT5" s="72"/>
      <c r="BU5" s="201">
        <v>41313</v>
      </c>
      <c r="BV5" s="201">
        <f t="shared" si="6"/>
        <v>42043</v>
      </c>
      <c r="BW5" s="201"/>
      <c r="BX5" s="201" t="str">
        <f t="shared" si="7"/>
        <v>non</v>
      </c>
      <c r="BY5" s="439">
        <f t="shared" si="8"/>
        <v>11</v>
      </c>
      <c r="BZ5" s="439">
        <f>IF((BY5*EO5)&lt;0,"0",BY5*EO5)</f>
        <v>78210</v>
      </c>
      <c r="CA5" s="439">
        <f t="shared" si="9"/>
        <v>-78210</v>
      </c>
      <c r="CB5" s="81"/>
      <c r="CC5" s="81"/>
      <c r="CD5" s="81"/>
      <c r="CE5" s="326" t="str">
        <f t="shared" si="10"/>
        <v>0</v>
      </c>
      <c r="CF5" s="81"/>
      <c r="CG5" s="81"/>
      <c r="CH5" s="326" t="str">
        <f t="shared" si="11"/>
        <v>0</v>
      </c>
      <c r="CI5" s="81"/>
      <c r="CJ5" s="81"/>
      <c r="CK5" s="326" t="str">
        <f t="shared" si="12"/>
        <v>0</v>
      </c>
      <c r="CL5" s="81"/>
      <c r="CM5" s="81"/>
      <c r="CN5" s="326" t="str">
        <f t="shared" si="13"/>
        <v>0</v>
      </c>
      <c r="CO5" s="83"/>
      <c r="CP5" s="365"/>
      <c r="CQ5" s="326" t="str">
        <f t="shared" si="14"/>
        <v>0</v>
      </c>
      <c r="CR5" s="292"/>
      <c r="CS5" s="159"/>
      <c r="CT5" s="81"/>
      <c r="CU5" s="159"/>
      <c r="CV5" s="326" t="str">
        <f t="shared" si="15"/>
        <v>0</v>
      </c>
      <c r="CW5" s="81"/>
      <c r="CX5" s="237">
        <v>40940</v>
      </c>
      <c r="CY5" s="230">
        <v>2012</v>
      </c>
      <c r="CZ5" s="285">
        <f t="shared" si="16"/>
        <v>7.2666666666666666</v>
      </c>
      <c r="DA5" s="326" t="str">
        <f t="shared" si="17"/>
        <v>0</v>
      </c>
      <c r="DB5" s="83">
        <v>13</v>
      </c>
      <c r="DC5" s="83">
        <f t="shared" si="18"/>
        <v>24</v>
      </c>
      <c r="DD5" s="214"/>
      <c r="DE5" s="213"/>
      <c r="DF5" s="448" t="str">
        <f t="shared" si="19"/>
        <v>0</v>
      </c>
      <c r="DG5" s="459"/>
      <c r="DH5" s="395"/>
      <c r="DI5" s="396" t="str">
        <f t="shared" si="20"/>
        <v>0</v>
      </c>
      <c r="DJ5" s="179"/>
      <c r="DK5" s="214"/>
      <c r="DL5" s="448" t="str">
        <f t="shared" si="21"/>
        <v>0</v>
      </c>
      <c r="DM5" s="214"/>
      <c r="DN5" s="214"/>
      <c r="DO5" s="448" t="str">
        <f t="shared" si="22"/>
        <v>0</v>
      </c>
      <c r="DP5" s="214"/>
      <c r="DQ5" s="214"/>
      <c r="DR5" s="448" t="str">
        <f t="shared" si="23"/>
        <v>0</v>
      </c>
      <c r="DS5" s="214"/>
      <c r="DT5" s="214"/>
      <c r="DU5" s="448" t="str">
        <f t="shared" si="24"/>
        <v>0</v>
      </c>
      <c r="DV5" s="214"/>
      <c r="DW5" s="214"/>
      <c r="DX5" s="448" t="str">
        <f t="shared" si="25"/>
        <v>0</v>
      </c>
      <c r="DY5" s="214"/>
      <c r="DZ5" s="214"/>
      <c r="EA5" s="214"/>
      <c r="EB5" s="293">
        <f t="shared" si="26"/>
        <v>41334</v>
      </c>
      <c r="EC5" s="240">
        <v>41688</v>
      </c>
      <c r="ED5" s="469">
        <f t="shared" si="27"/>
        <v>11.8</v>
      </c>
      <c r="EE5" s="619"/>
      <c r="EF5" s="382"/>
      <c r="EG5" s="84">
        <v>41689</v>
      </c>
      <c r="EH5" s="84" t="s">
        <v>105</v>
      </c>
      <c r="EI5" s="84">
        <v>41696</v>
      </c>
      <c r="EJ5" s="382"/>
      <c r="EK5" s="533">
        <f t="shared" si="28"/>
        <v>41365</v>
      </c>
      <c r="EL5" s="240">
        <v>41696</v>
      </c>
      <c r="EM5" s="380">
        <v>2014</v>
      </c>
      <c r="EN5" s="463">
        <f t="shared" si="29"/>
        <v>11.033333333333333</v>
      </c>
      <c r="EO5" s="458">
        <v>7110</v>
      </c>
      <c r="EP5" s="159">
        <f t="shared" si="30"/>
        <v>78447</v>
      </c>
      <c r="EQ5" s="84"/>
      <c r="ER5" s="349"/>
      <c r="ES5" s="454">
        <f t="shared" si="31"/>
        <v>0</v>
      </c>
      <c r="ET5" s="353"/>
      <c r="EU5" s="353"/>
      <c r="EV5" s="353"/>
      <c r="EW5" s="483">
        <f t="shared" si="32"/>
        <v>0</v>
      </c>
      <c r="EX5" s="350"/>
      <c r="EY5" s="362"/>
      <c r="EZ5" s="350"/>
      <c r="FA5" s="350"/>
      <c r="FB5" s="126">
        <f t="shared" si="33"/>
        <v>731</v>
      </c>
      <c r="FC5" s="81"/>
      <c r="FD5" s="81"/>
      <c r="FE5" s="81"/>
      <c r="FF5" s="81"/>
      <c r="FG5" s="81">
        <v>41787</v>
      </c>
      <c r="FH5" s="73">
        <v>42059</v>
      </c>
      <c r="FI5" s="81">
        <f t="shared" si="34"/>
        <v>42053</v>
      </c>
      <c r="FJ5" s="442">
        <v>35103.575989752957</v>
      </c>
      <c r="FK5" s="81" t="s">
        <v>105</v>
      </c>
      <c r="FL5" s="81"/>
      <c r="FM5" s="81"/>
      <c r="FN5" s="81">
        <v>41919</v>
      </c>
      <c r="FO5" s="81">
        <v>41921</v>
      </c>
      <c r="FP5" s="81"/>
      <c r="FQ5" s="81" t="s">
        <v>105</v>
      </c>
      <c r="FR5" s="73">
        <v>42290</v>
      </c>
      <c r="FS5" s="73"/>
      <c r="FT5" s="73"/>
      <c r="FU5" s="73"/>
      <c r="FV5" s="132" t="s">
        <v>105</v>
      </c>
      <c r="FW5" s="132" t="s">
        <v>105</v>
      </c>
      <c r="FX5" s="528"/>
      <c r="FY5" s="652">
        <f t="shared" si="35"/>
        <v>2817333</v>
      </c>
      <c r="FZ5" s="550">
        <f t="shared" si="36"/>
        <v>2817333</v>
      </c>
      <c r="GA5" s="500">
        <f t="shared" si="55"/>
        <v>2817333</v>
      </c>
      <c r="GB5" s="610">
        <f t="shared" si="37"/>
        <v>433682</v>
      </c>
      <c r="GC5" s="28">
        <f t="shared" si="38"/>
        <v>1966.3539856362152</v>
      </c>
      <c r="GD5" s="28">
        <f t="shared" si="39"/>
        <v>176083.3125</v>
      </c>
      <c r="GE5" s="12">
        <v>853424</v>
      </c>
      <c r="GF5" s="417"/>
      <c r="GG5" s="16">
        <f t="shared" si="40"/>
        <v>53339</v>
      </c>
      <c r="GH5" s="9">
        <f t="shared" si="41"/>
        <v>1530227</v>
      </c>
      <c r="GI5" s="10">
        <v>304961</v>
      </c>
      <c r="GJ5" s="10">
        <v>1225266</v>
      </c>
      <c r="GK5" s="407">
        <f t="shared" si="42"/>
        <v>95639.1875</v>
      </c>
      <c r="GL5" s="9">
        <v>0</v>
      </c>
      <c r="GM5" s="12">
        <v>380000</v>
      </c>
      <c r="GN5" s="44"/>
      <c r="GO5" s="23">
        <f t="shared" si="43"/>
        <v>0.13487933446277028</v>
      </c>
      <c r="GP5" s="45"/>
      <c r="GQ5" s="45"/>
      <c r="GR5" s="12">
        <v>53682</v>
      </c>
      <c r="GS5" s="28">
        <f t="shared" si="44"/>
        <v>23750</v>
      </c>
      <c r="GT5" s="28">
        <f t="shared" si="45"/>
        <v>77089</v>
      </c>
      <c r="GU5" s="680">
        <v>0</v>
      </c>
      <c r="GV5" s="680">
        <v>0</v>
      </c>
      <c r="GW5" s="680" t="e">
        <f>(#REF!+#REF!+GV5)/AD5</f>
        <v>#REF!</v>
      </c>
      <c r="GX5" s="680">
        <v>0</v>
      </c>
      <c r="GY5" s="680">
        <f t="shared" si="46"/>
        <v>77089</v>
      </c>
      <c r="GZ5" s="681">
        <f t="shared" si="47"/>
        <v>0.46171877778297693</v>
      </c>
      <c r="HA5" s="680">
        <v>145958</v>
      </c>
      <c r="HB5" s="680"/>
      <c r="HC5" s="9">
        <v>0</v>
      </c>
      <c r="HD5" s="602"/>
      <c r="HE5" s="608">
        <f t="shared" si="48"/>
        <v>0</v>
      </c>
      <c r="HF5" s="616">
        <f t="shared" si="49"/>
        <v>2817333</v>
      </c>
      <c r="HG5" s="602">
        <f t="shared" ca="1" si="50"/>
        <v>2817333</v>
      </c>
      <c r="HH5" s="602"/>
      <c r="HI5" s="602"/>
      <c r="HJ5" s="602">
        <f t="shared" si="51"/>
        <v>433682</v>
      </c>
      <c r="HK5" s="609">
        <f t="shared" si="52"/>
        <v>0</v>
      </c>
      <c r="HL5" s="609"/>
      <c r="HM5" s="673"/>
      <c r="HN5" s="62"/>
      <c r="HO5" s="673"/>
      <c r="HP5" s="673">
        <f t="shared" si="53"/>
        <v>0</v>
      </c>
      <c r="HQ5" s="539"/>
      <c r="HR5" s="539"/>
      <c r="HS5" s="539"/>
      <c r="HT5" s="539"/>
      <c r="HU5" s="539"/>
      <c r="HV5" s="673"/>
      <c r="HW5" s="673">
        <f t="shared" si="54"/>
        <v>0</v>
      </c>
      <c r="HX5" s="539"/>
    </row>
    <row r="6" spans="1:232" ht="20.100000000000001" hidden="1" customHeight="1">
      <c r="A6" s="6" t="s">
        <v>87</v>
      </c>
      <c r="B6" s="6" t="s">
        <v>20</v>
      </c>
      <c r="C6" s="6" t="s">
        <v>91</v>
      </c>
      <c r="D6" s="6">
        <v>2011</v>
      </c>
      <c r="E6" s="6" t="s">
        <v>84</v>
      </c>
      <c r="F6" s="6"/>
      <c r="G6" s="490"/>
      <c r="H6" s="31" t="s">
        <v>187</v>
      </c>
      <c r="I6" s="31"/>
      <c r="J6" s="31"/>
      <c r="K6" s="270" t="s">
        <v>434</v>
      </c>
      <c r="L6" s="277"/>
      <c r="M6" s="277"/>
      <c r="N6" s="277"/>
      <c r="O6" s="142">
        <v>8131</v>
      </c>
      <c r="P6" s="142">
        <v>227747.25</v>
      </c>
      <c r="Q6" s="142">
        <v>178042</v>
      </c>
      <c r="R6" s="142" t="e">
        <f>P6/(AD6+#REF!)</f>
        <v>#REF!</v>
      </c>
      <c r="S6" s="142">
        <f>P6/O6</f>
        <v>28.009746648628706</v>
      </c>
      <c r="T6" s="142">
        <f>Q6/O6</f>
        <v>21.896691673840856</v>
      </c>
      <c r="U6" s="142" t="e">
        <f>Q6/(AK6+#REF!)</f>
        <v>#REF!</v>
      </c>
      <c r="V6" s="142" t="e">
        <f>Q6/(AD6+#REF!)</f>
        <v>#REF!</v>
      </c>
      <c r="W6" s="142" t="e">
        <f>O6/(AD6+#REF!)</f>
        <v>#REF!</v>
      </c>
      <c r="X6" s="143">
        <v>1079</v>
      </c>
      <c r="Y6" s="522">
        <f t="shared" si="0"/>
        <v>4.9194441028163816</v>
      </c>
      <c r="Z6" s="143" t="s">
        <v>163</v>
      </c>
      <c r="AA6" s="145"/>
      <c r="AB6" s="145"/>
      <c r="AC6" s="6" t="s">
        <v>9</v>
      </c>
      <c r="AD6" s="493">
        <f t="shared" si="1"/>
        <v>4</v>
      </c>
      <c r="AE6" s="493">
        <f t="shared" si="2"/>
        <v>4</v>
      </c>
      <c r="AF6" s="6">
        <v>4</v>
      </c>
      <c r="AG6" s="553"/>
      <c r="AH6" s="272"/>
      <c r="AI6" s="272"/>
      <c r="AJ6" s="36">
        <v>276.40999999999997</v>
      </c>
      <c r="AK6" s="278">
        <v>317.76</v>
      </c>
      <c r="AL6" s="586">
        <f t="shared" si="3"/>
        <v>69.102499999999992</v>
      </c>
      <c r="AM6" s="8">
        <f t="shared" si="4"/>
        <v>79.44</v>
      </c>
      <c r="AN6" s="35">
        <v>7.15</v>
      </c>
      <c r="AO6" s="35">
        <v>6.22</v>
      </c>
      <c r="AP6" s="35">
        <v>494</v>
      </c>
      <c r="AQ6" s="35"/>
      <c r="AR6" s="35"/>
      <c r="AS6" s="35"/>
      <c r="AT6" s="35"/>
      <c r="AU6" s="35"/>
      <c r="AV6" s="8">
        <f>830+889+461</f>
        <v>2180</v>
      </c>
      <c r="AW6" s="51">
        <v>850</v>
      </c>
      <c r="AX6" s="53">
        <f>AW6/O6</f>
        <v>0.10453818718484811</v>
      </c>
      <c r="AY6" s="35">
        <v>2.5</v>
      </c>
      <c r="AZ6" s="34" t="s">
        <v>398</v>
      </c>
      <c r="BA6" s="547" t="s">
        <v>98</v>
      </c>
      <c r="BB6" s="34"/>
      <c r="BC6" s="34"/>
      <c r="BD6" s="34"/>
      <c r="BE6" s="34"/>
      <c r="BF6" s="31"/>
      <c r="BG6" s="31"/>
      <c r="BH6" s="126">
        <v>40816</v>
      </c>
      <c r="BI6" s="126"/>
      <c r="BJ6" s="660">
        <v>40632</v>
      </c>
      <c r="BK6" s="660">
        <v>40730</v>
      </c>
      <c r="BL6" s="661">
        <v>42291</v>
      </c>
      <c r="BM6" s="659">
        <f t="shared" si="5"/>
        <v>3.2666666666666666</v>
      </c>
      <c r="BN6" s="578"/>
      <c r="BO6" s="548"/>
      <c r="BP6" s="549"/>
      <c r="BQ6" s="567"/>
      <c r="BR6" s="567"/>
      <c r="BS6" s="72"/>
      <c r="BT6" s="72"/>
      <c r="BU6" s="201">
        <v>41314</v>
      </c>
      <c r="BV6" s="201">
        <f t="shared" si="6"/>
        <v>42044</v>
      </c>
      <c r="BW6" s="201"/>
      <c r="BX6" s="201" t="str">
        <f t="shared" si="7"/>
        <v>non</v>
      </c>
      <c r="BY6" s="439">
        <f t="shared" si="8"/>
        <v>11</v>
      </c>
      <c r="BZ6" s="439">
        <f>IF((BY6*EO6)&lt;0,"0",BY6*EO6)</f>
        <v>22385</v>
      </c>
      <c r="CA6" s="439">
        <f t="shared" si="9"/>
        <v>-22385</v>
      </c>
      <c r="CB6" s="81"/>
      <c r="CC6" s="81"/>
      <c r="CD6" s="81"/>
      <c r="CE6" s="326" t="str">
        <f t="shared" si="10"/>
        <v>0</v>
      </c>
      <c r="CF6" s="81"/>
      <c r="CG6" s="81"/>
      <c r="CH6" s="326" t="str">
        <f t="shared" si="11"/>
        <v>0</v>
      </c>
      <c r="CI6" s="81"/>
      <c r="CJ6" s="81"/>
      <c r="CK6" s="326" t="str">
        <f t="shared" si="12"/>
        <v>0</v>
      </c>
      <c r="CL6" s="81"/>
      <c r="CM6" s="81"/>
      <c r="CN6" s="326" t="str">
        <f t="shared" si="13"/>
        <v>0</v>
      </c>
      <c r="CO6" s="83"/>
      <c r="CP6" s="365"/>
      <c r="CQ6" s="326" t="str">
        <f t="shared" si="14"/>
        <v>0</v>
      </c>
      <c r="CR6" s="292"/>
      <c r="CS6" s="159"/>
      <c r="CT6" s="81"/>
      <c r="CU6" s="159"/>
      <c r="CV6" s="326" t="str">
        <f t="shared" si="15"/>
        <v>0</v>
      </c>
      <c r="CW6" s="81"/>
      <c r="CX6" s="237">
        <v>40940</v>
      </c>
      <c r="CY6" s="230">
        <v>2012</v>
      </c>
      <c r="CZ6" s="285">
        <f t="shared" si="16"/>
        <v>7</v>
      </c>
      <c r="DA6" s="326" t="str">
        <f t="shared" si="17"/>
        <v>0</v>
      </c>
      <c r="DB6" s="83">
        <v>13</v>
      </c>
      <c r="DC6" s="83">
        <f t="shared" si="18"/>
        <v>24</v>
      </c>
      <c r="DD6" s="214"/>
      <c r="DE6" s="213"/>
      <c r="DF6" s="448" t="str">
        <f t="shared" si="19"/>
        <v>0</v>
      </c>
      <c r="DG6" s="459"/>
      <c r="DH6" s="395"/>
      <c r="DI6" s="396" t="str">
        <f t="shared" si="20"/>
        <v>0</v>
      </c>
      <c r="DJ6" s="179"/>
      <c r="DK6" s="214"/>
      <c r="DL6" s="448" t="str">
        <f t="shared" si="21"/>
        <v>0</v>
      </c>
      <c r="DM6" s="214"/>
      <c r="DN6" s="214"/>
      <c r="DO6" s="448" t="str">
        <f t="shared" si="22"/>
        <v>0</v>
      </c>
      <c r="DP6" s="214"/>
      <c r="DQ6" s="214"/>
      <c r="DR6" s="448" t="str">
        <f t="shared" si="23"/>
        <v>0</v>
      </c>
      <c r="DS6" s="214"/>
      <c r="DT6" s="214"/>
      <c r="DU6" s="448" t="str">
        <f t="shared" si="24"/>
        <v>0</v>
      </c>
      <c r="DV6" s="214"/>
      <c r="DW6" s="214"/>
      <c r="DX6" s="448" t="str">
        <f t="shared" si="25"/>
        <v>0</v>
      </c>
      <c r="DY6" s="214"/>
      <c r="DZ6" s="214"/>
      <c r="EA6" s="214"/>
      <c r="EB6" s="293">
        <f t="shared" si="26"/>
        <v>41334</v>
      </c>
      <c r="EC6" s="240">
        <v>41688</v>
      </c>
      <c r="ED6" s="469">
        <f t="shared" si="27"/>
        <v>11.8</v>
      </c>
      <c r="EE6" s="619"/>
      <c r="EF6" s="382"/>
      <c r="EG6" s="84">
        <v>41689</v>
      </c>
      <c r="EH6" s="84" t="s">
        <v>105</v>
      </c>
      <c r="EI6" s="84">
        <v>41696</v>
      </c>
      <c r="EJ6" s="382"/>
      <c r="EK6" s="533">
        <f t="shared" si="28"/>
        <v>41365</v>
      </c>
      <c r="EL6" s="240">
        <v>41696</v>
      </c>
      <c r="EM6" s="380">
        <v>2014</v>
      </c>
      <c r="EN6" s="463">
        <f t="shared" si="29"/>
        <v>11.033333333333333</v>
      </c>
      <c r="EO6" s="458">
        <v>2035</v>
      </c>
      <c r="EP6" s="159">
        <f t="shared" si="30"/>
        <v>22452.833333333332</v>
      </c>
      <c r="EQ6" s="84"/>
      <c r="ER6" s="349"/>
      <c r="ES6" s="454">
        <f t="shared" si="31"/>
        <v>0</v>
      </c>
      <c r="ET6" s="353"/>
      <c r="EU6" s="353"/>
      <c r="EV6" s="353"/>
      <c r="EW6" s="483">
        <f t="shared" si="32"/>
        <v>0</v>
      </c>
      <c r="EX6" s="354"/>
      <c r="EY6" s="369"/>
      <c r="EZ6" s="354"/>
      <c r="FA6" s="354"/>
      <c r="FB6" s="126">
        <f t="shared" si="33"/>
        <v>731</v>
      </c>
      <c r="FC6" s="81"/>
      <c r="FD6" s="81"/>
      <c r="FE6" s="81"/>
      <c r="FF6" s="81"/>
      <c r="FG6" s="81">
        <v>41787</v>
      </c>
      <c r="FH6" s="73">
        <v>42059</v>
      </c>
      <c r="FI6" s="81">
        <f t="shared" si="34"/>
        <v>42053</v>
      </c>
      <c r="FJ6" s="442">
        <v>7942.4140102470437</v>
      </c>
      <c r="FK6" s="81" t="s">
        <v>105</v>
      </c>
      <c r="FL6" s="81"/>
      <c r="FM6" s="81"/>
      <c r="FN6" s="81">
        <v>41919</v>
      </c>
      <c r="FO6" s="81">
        <v>41921</v>
      </c>
      <c r="FP6" s="81"/>
      <c r="FQ6" s="81" t="s">
        <v>105</v>
      </c>
      <c r="FR6" s="73">
        <v>42290</v>
      </c>
      <c r="FS6" s="73"/>
      <c r="FT6" s="73"/>
      <c r="FU6" s="73"/>
      <c r="FV6" s="81"/>
      <c r="FW6" s="81" t="s">
        <v>105</v>
      </c>
      <c r="FX6" s="528"/>
      <c r="FY6" s="652">
        <f t="shared" si="35"/>
        <v>642137</v>
      </c>
      <c r="FZ6" s="550">
        <f t="shared" si="36"/>
        <v>642137</v>
      </c>
      <c r="GA6" s="500">
        <f t="shared" si="55"/>
        <v>642137</v>
      </c>
      <c r="GB6" s="610">
        <f t="shared" si="37"/>
        <v>131725</v>
      </c>
      <c r="GC6" s="28">
        <f t="shared" si="38"/>
        <v>2020.8238922457201</v>
      </c>
      <c r="GD6" s="28">
        <f t="shared" si="39"/>
        <v>160534.25</v>
      </c>
      <c r="GE6" s="12">
        <v>75000</v>
      </c>
      <c r="GF6" s="417"/>
      <c r="GG6" s="16">
        <f t="shared" si="40"/>
        <v>18750</v>
      </c>
      <c r="GH6" s="9">
        <f t="shared" si="41"/>
        <v>335412</v>
      </c>
      <c r="GI6" s="10">
        <v>85556</v>
      </c>
      <c r="GJ6" s="10">
        <v>249856</v>
      </c>
      <c r="GK6" s="407">
        <f t="shared" si="42"/>
        <v>83853</v>
      </c>
      <c r="GL6" s="9">
        <v>100000</v>
      </c>
      <c r="GM6" s="12">
        <v>119398</v>
      </c>
      <c r="GN6" s="44"/>
      <c r="GO6" s="23">
        <f t="shared" si="43"/>
        <v>0.18593851467833189</v>
      </c>
      <c r="GP6" s="45"/>
      <c r="GQ6" s="45"/>
      <c r="GR6" s="12">
        <v>12327</v>
      </c>
      <c r="GS6" s="28">
        <f t="shared" si="44"/>
        <v>29849.5</v>
      </c>
      <c r="GT6" s="28">
        <f t="shared" si="45"/>
        <v>48599.5</v>
      </c>
      <c r="GU6" s="680">
        <v>1087937.9071325003</v>
      </c>
      <c r="GV6" s="680">
        <v>400000</v>
      </c>
      <c r="GW6" s="680" t="e">
        <f>(#REF!+#REF!+GV6)/AD6</f>
        <v>#REF!</v>
      </c>
      <c r="GX6" s="680">
        <v>474274.71</v>
      </c>
      <c r="GY6" s="680">
        <f t="shared" si="46"/>
        <v>267168.17749999999</v>
      </c>
      <c r="GZ6" s="681">
        <f t="shared" si="47"/>
        <v>0.62937481320481981</v>
      </c>
      <c r="HA6" s="680">
        <v>32084</v>
      </c>
      <c r="HB6" s="680"/>
      <c r="HC6" s="9">
        <v>0</v>
      </c>
      <c r="HD6" s="602"/>
      <c r="HE6" s="608">
        <f t="shared" si="48"/>
        <v>0</v>
      </c>
      <c r="HF6" s="616">
        <f t="shared" si="49"/>
        <v>642137</v>
      </c>
      <c r="HG6" s="602">
        <f t="shared" ca="1" si="50"/>
        <v>642137</v>
      </c>
      <c r="HH6" s="602"/>
      <c r="HI6" s="602"/>
      <c r="HJ6" s="602">
        <f t="shared" si="51"/>
        <v>131725</v>
      </c>
      <c r="HK6" s="609">
        <f t="shared" si="52"/>
        <v>0</v>
      </c>
      <c r="HL6" s="609"/>
      <c r="HM6" s="673"/>
      <c r="HN6" s="62"/>
      <c r="HO6" s="673"/>
      <c r="HP6" s="673">
        <f t="shared" si="53"/>
        <v>0</v>
      </c>
      <c r="HQ6" s="539"/>
      <c r="HR6" s="539"/>
      <c r="HS6" s="539"/>
      <c r="HT6" s="539"/>
      <c r="HU6" s="539"/>
      <c r="HV6" s="673"/>
      <c r="HW6" s="673">
        <f t="shared" si="54"/>
        <v>0</v>
      </c>
      <c r="HX6" s="539"/>
    </row>
    <row r="7" spans="1:232" ht="20.100000000000001" hidden="1" customHeight="1">
      <c r="A7" s="6" t="s">
        <v>753</v>
      </c>
      <c r="B7" s="6" t="s">
        <v>21</v>
      </c>
      <c r="C7" s="6" t="s">
        <v>90</v>
      </c>
      <c r="D7" s="6">
        <v>2011</v>
      </c>
      <c r="E7" s="6" t="s">
        <v>85</v>
      </c>
      <c r="F7" s="6"/>
      <c r="G7" s="490"/>
      <c r="H7" s="31" t="s">
        <v>187</v>
      </c>
      <c r="I7" s="31"/>
      <c r="J7" s="31"/>
      <c r="K7" s="180"/>
      <c r="L7" s="277"/>
      <c r="M7" s="277"/>
      <c r="N7" s="277"/>
      <c r="O7" s="142">
        <v>5169</v>
      </c>
      <c r="P7" s="142">
        <v>830607</v>
      </c>
      <c r="Q7" s="142">
        <v>830607</v>
      </c>
      <c r="R7" s="142">
        <f>P7/(AD7+AD41)</f>
        <v>11698.69014084507</v>
      </c>
      <c r="S7" s="142">
        <f>P7/O7</f>
        <v>160.69007544979686</v>
      </c>
      <c r="T7" s="142">
        <f>Q7/O7</f>
        <v>160.69007544979686</v>
      </c>
      <c r="U7" s="142">
        <f>Q7/(AK7+AK41)</f>
        <v>135.34700914309738</v>
      </c>
      <c r="V7" s="142">
        <f>Q7/(AD7+AD41)</f>
        <v>11698.69014084507</v>
      </c>
      <c r="W7" s="142">
        <f>O7/(AD7+AD41)</f>
        <v>72.802816901408448</v>
      </c>
      <c r="X7" s="143"/>
      <c r="Y7" s="522">
        <f t="shared" si="0"/>
        <v>98.665118978525825</v>
      </c>
      <c r="Z7" s="143" t="s">
        <v>147</v>
      </c>
      <c r="AA7" s="145"/>
      <c r="AB7" s="145"/>
      <c r="AC7" s="6" t="s">
        <v>9</v>
      </c>
      <c r="AD7" s="493">
        <f t="shared" si="1"/>
        <v>51</v>
      </c>
      <c r="AE7" s="493">
        <f t="shared" si="2"/>
        <v>51</v>
      </c>
      <c r="AF7" s="6">
        <v>51</v>
      </c>
      <c r="AG7" s="553"/>
      <c r="AH7" s="272"/>
      <c r="AI7" s="272"/>
      <c r="AJ7" s="35">
        <v>4165.7300000000005</v>
      </c>
      <c r="AK7" s="278">
        <v>4837.3599999999997</v>
      </c>
      <c r="AL7" s="586">
        <f t="shared" si="3"/>
        <v>81.680980392156869</v>
      </c>
      <c r="AM7" s="8">
        <f t="shared" si="4"/>
        <v>94.850196078431367</v>
      </c>
      <c r="AN7" s="35">
        <v>6.89</v>
      </c>
      <c r="AO7" s="35">
        <v>5.93</v>
      </c>
      <c r="AP7" s="35">
        <v>562.6</v>
      </c>
      <c r="AQ7" s="35"/>
      <c r="AR7" s="35"/>
      <c r="AS7" s="35"/>
      <c r="AT7" s="35"/>
      <c r="AU7" s="35"/>
      <c r="AV7" s="8">
        <v>900</v>
      </c>
      <c r="AW7" s="51">
        <v>0</v>
      </c>
      <c r="AX7" s="53">
        <f>AW7/O7</f>
        <v>0</v>
      </c>
      <c r="AY7" s="35"/>
      <c r="AZ7" s="34" t="s">
        <v>398</v>
      </c>
      <c r="BA7" s="547" t="s">
        <v>98</v>
      </c>
      <c r="BB7" s="504">
        <v>8947368.421052631</v>
      </c>
      <c r="BC7" s="504">
        <f>BB7/AJ7</f>
        <v>2147.8512580154329</v>
      </c>
      <c r="BD7" s="392">
        <f>BB7/AK7</f>
        <v>1849.6387329147783</v>
      </c>
      <c r="BE7" s="392">
        <f>BB7/AD7</f>
        <v>175438.59649122806</v>
      </c>
      <c r="BF7" s="31"/>
      <c r="BG7" s="31"/>
      <c r="BH7" s="126">
        <v>40816</v>
      </c>
      <c r="BI7" s="126"/>
      <c r="BJ7" s="660">
        <v>40632</v>
      </c>
      <c r="BK7" s="660">
        <v>40722</v>
      </c>
      <c r="BL7" s="661">
        <v>42317</v>
      </c>
      <c r="BM7" s="659">
        <f t="shared" si="5"/>
        <v>3</v>
      </c>
      <c r="BN7" s="578"/>
      <c r="BO7" s="548"/>
      <c r="BP7" s="549"/>
      <c r="BQ7" s="567"/>
      <c r="BR7" s="567"/>
      <c r="BS7" s="72"/>
      <c r="BT7" s="72"/>
      <c r="BU7" s="201">
        <v>41311</v>
      </c>
      <c r="BV7" s="201">
        <f t="shared" si="6"/>
        <v>42041</v>
      </c>
      <c r="BW7" s="201"/>
      <c r="BX7" s="201" t="str">
        <f t="shared" si="7"/>
        <v>non</v>
      </c>
      <c r="BY7" s="439">
        <f t="shared" si="8"/>
        <v>11</v>
      </c>
      <c r="BZ7" s="439">
        <f>BY7*EO7</f>
        <v>336248</v>
      </c>
      <c r="CA7" s="439">
        <f t="shared" si="9"/>
        <v>-336248</v>
      </c>
      <c r="CB7" s="81"/>
      <c r="CC7" s="81"/>
      <c r="CD7" s="81"/>
      <c r="CE7" s="326" t="str">
        <f t="shared" si="10"/>
        <v>0</v>
      </c>
      <c r="CF7" s="81"/>
      <c r="CG7" s="81"/>
      <c r="CH7" s="326" t="str">
        <f t="shared" si="11"/>
        <v>0</v>
      </c>
      <c r="CI7" s="81"/>
      <c r="CJ7" s="81"/>
      <c r="CK7" s="326" t="str">
        <f t="shared" si="12"/>
        <v>0</v>
      </c>
      <c r="CL7" s="81"/>
      <c r="CM7" s="81"/>
      <c r="CN7" s="326" t="str">
        <f t="shared" si="13"/>
        <v>0</v>
      </c>
      <c r="CO7" s="83"/>
      <c r="CP7" s="365"/>
      <c r="CQ7" s="326" t="str">
        <f t="shared" si="14"/>
        <v>0</v>
      </c>
      <c r="CR7" s="292"/>
      <c r="CS7" s="159"/>
      <c r="CT7" s="81"/>
      <c r="CU7" s="159"/>
      <c r="CV7" s="326" t="str">
        <f t="shared" si="15"/>
        <v>0</v>
      </c>
      <c r="CW7" s="81"/>
      <c r="CX7" s="237">
        <v>40898</v>
      </c>
      <c r="CY7" s="230">
        <v>2011</v>
      </c>
      <c r="CZ7" s="285">
        <f t="shared" si="16"/>
        <v>5.8666666666666663</v>
      </c>
      <c r="DA7" s="326" t="str">
        <f t="shared" si="17"/>
        <v>0</v>
      </c>
      <c r="DB7" s="83">
        <v>22</v>
      </c>
      <c r="DC7" s="83">
        <f t="shared" si="18"/>
        <v>22</v>
      </c>
      <c r="DD7" s="214"/>
      <c r="DE7" s="213"/>
      <c r="DF7" s="448" t="str">
        <f t="shared" si="19"/>
        <v>0</v>
      </c>
      <c r="DG7" s="459"/>
      <c r="DH7" s="395"/>
      <c r="DI7" s="396" t="str">
        <f t="shared" si="20"/>
        <v>0</v>
      </c>
      <c r="DJ7" s="179"/>
      <c r="DK7" s="214"/>
      <c r="DL7" s="448" t="str">
        <f t="shared" si="21"/>
        <v>0</v>
      </c>
      <c r="DM7" s="214"/>
      <c r="DN7" s="214"/>
      <c r="DO7" s="448" t="str">
        <f t="shared" si="22"/>
        <v>0</v>
      </c>
      <c r="DP7" s="214"/>
      <c r="DQ7" s="214"/>
      <c r="DR7" s="448" t="str">
        <f t="shared" si="23"/>
        <v>0</v>
      </c>
      <c r="DS7" s="214"/>
      <c r="DT7" s="214"/>
      <c r="DU7" s="448" t="str">
        <f t="shared" si="24"/>
        <v>0</v>
      </c>
      <c r="DV7" s="214"/>
      <c r="DW7" s="214"/>
      <c r="DX7" s="448" t="str">
        <f t="shared" si="25"/>
        <v>0</v>
      </c>
      <c r="DY7" s="214"/>
      <c r="DZ7" s="214"/>
      <c r="EA7" s="214"/>
      <c r="EB7" s="293">
        <f t="shared" si="26"/>
        <v>41568</v>
      </c>
      <c r="EC7" s="240">
        <v>41568</v>
      </c>
      <c r="ED7" s="469">
        <f t="shared" si="27"/>
        <v>0</v>
      </c>
      <c r="EE7" s="619"/>
      <c r="EF7" s="382"/>
      <c r="EG7" s="84">
        <v>41611</v>
      </c>
      <c r="EH7" s="84" t="s">
        <v>105</v>
      </c>
      <c r="EI7" s="84">
        <v>41683</v>
      </c>
      <c r="EJ7" s="478"/>
      <c r="EK7" s="533">
        <f t="shared" si="28"/>
        <v>41599</v>
      </c>
      <c r="EL7" s="384">
        <v>41683</v>
      </c>
      <c r="EM7" s="380">
        <v>2014</v>
      </c>
      <c r="EN7" s="464">
        <f t="shared" si="29"/>
        <v>2.8</v>
      </c>
      <c r="EO7" s="458">
        <v>30568</v>
      </c>
      <c r="EP7" s="159">
        <f t="shared" si="30"/>
        <v>85590.399999999994</v>
      </c>
      <c r="EQ7" s="127"/>
      <c r="ER7" s="349"/>
      <c r="ES7" s="454">
        <f t="shared" si="31"/>
        <v>0</v>
      </c>
      <c r="ET7" s="353"/>
      <c r="EU7" s="353"/>
      <c r="EV7" s="353"/>
      <c r="EW7" s="483">
        <f t="shared" si="32"/>
        <v>0</v>
      </c>
      <c r="EX7" s="350"/>
      <c r="EY7" s="362"/>
      <c r="EZ7" s="350"/>
      <c r="FA7" s="350"/>
      <c r="FB7" s="126">
        <f t="shared" si="33"/>
        <v>731</v>
      </c>
      <c r="FC7" s="81"/>
      <c r="FD7" s="81"/>
      <c r="FE7" s="81"/>
      <c r="FF7" s="81"/>
      <c r="FG7" s="81"/>
      <c r="FH7" s="74"/>
      <c r="FI7" s="81">
        <f t="shared" si="34"/>
        <v>41933</v>
      </c>
      <c r="FJ7" s="442">
        <v>0</v>
      </c>
      <c r="FK7" s="81" t="s">
        <v>218</v>
      </c>
      <c r="FL7" s="81" t="s">
        <v>105</v>
      </c>
      <c r="FM7" s="81"/>
      <c r="FN7" s="81"/>
      <c r="FO7" s="81"/>
      <c r="FP7" s="81"/>
      <c r="FQ7" s="81"/>
      <c r="FR7" s="73">
        <v>42121</v>
      </c>
      <c r="FS7" s="73"/>
      <c r="FT7" s="132"/>
      <c r="FU7" s="132"/>
      <c r="FV7" s="81"/>
      <c r="FW7" s="81" t="s">
        <v>105</v>
      </c>
      <c r="FX7" s="528"/>
      <c r="FY7" s="652">
        <f t="shared" si="35"/>
        <v>9522775</v>
      </c>
      <c r="FZ7" s="550">
        <f t="shared" si="36"/>
        <v>9522775</v>
      </c>
      <c r="GA7" s="500">
        <f t="shared" si="55"/>
        <v>9522775</v>
      </c>
      <c r="GB7" s="610">
        <f t="shared" si="37"/>
        <v>300000</v>
      </c>
      <c r="GC7" s="28">
        <f t="shared" si="38"/>
        <v>1968.5892718342238</v>
      </c>
      <c r="GD7" s="28">
        <f t="shared" si="39"/>
        <v>186721.07843137256</v>
      </c>
      <c r="GE7" s="12">
        <v>2932668</v>
      </c>
      <c r="GF7" s="417"/>
      <c r="GG7" s="16">
        <f t="shared" si="40"/>
        <v>57503.294117647056</v>
      </c>
      <c r="GH7" s="9">
        <f t="shared" si="41"/>
        <v>6290107</v>
      </c>
      <c r="GI7" s="10">
        <v>1887032</v>
      </c>
      <c r="GJ7" s="10">
        <v>4403075</v>
      </c>
      <c r="GK7" s="407">
        <f t="shared" si="42"/>
        <v>123335.43137254902</v>
      </c>
      <c r="GL7" s="9">
        <v>0</v>
      </c>
      <c r="GM7" s="12">
        <v>300000</v>
      </c>
      <c r="GN7" s="44"/>
      <c r="GO7" s="23">
        <f t="shared" si="43"/>
        <v>3.150342205922118E-2</v>
      </c>
      <c r="GP7" s="60"/>
      <c r="GQ7" s="60"/>
      <c r="GR7" s="12">
        <v>0</v>
      </c>
      <c r="GS7" s="28">
        <f t="shared" si="44"/>
        <v>5882.3529411764703</v>
      </c>
      <c r="GT7" s="28">
        <f t="shared" si="45"/>
        <v>63385.647058823532</v>
      </c>
      <c r="GU7" s="680">
        <v>0</v>
      </c>
      <c r="GV7" s="680">
        <v>0</v>
      </c>
      <c r="GW7" s="680" t="e">
        <f>(#REF!+#REF!+GV7)/AD7</f>
        <v>#REF!</v>
      </c>
      <c r="GX7" s="680">
        <v>0</v>
      </c>
      <c r="GY7" s="680">
        <f t="shared" si="46"/>
        <v>63385.647058823532</v>
      </c>
      <c r="GZ7" s="681">
        <f t="shared" si="47"/>
        <v>0.33946701460446144</v>
      </c>
      <c r="HA7" s="680"/>
      <c r="HB7" s="680"/>
      <c r="HC7" s="9">
        <v>0</v>
      </c>
      <c r="HD7" s="602"/>
      <c r="HE7" s="608">
        <f t="shared" si="48"/>
        <v>0</v>
      </c>
      <c r="HF7" s="616">
        <f t="shared" si="49"/>
        <v>9522775</v>
      </c>
      <c r="HG7" s="602">
        <f t="shared" ca="1" si="50"/>
        <v>9522775</v>
      </c>
      <c r="HH7" s="602"/>
      <c r="HI7" s="602"/>
      <c r="HJ7" s="602">
        <f t="shared" si="51"/>
        <v>300000</v>
      </c>
      <c r="HK7" s="609">
        <f t="shared" si="52"/>
        <v>0</v>
      </c>
      <c r="HL7" s="609"/>
      <c r="HM7" s="673"/>
      <c r="HN7" s="62"/>
      <c r="HO7" s="673"/>
      <c r="HP7" s="673">
        <f t="shared" si="53"/>
        <v>0</v>
      </c>
      <c r="HQ7" s="539"/>
      <c r="HR7" s="539"/>
      <c r="HS7" s="539"/>
      <c r="HT7" s="539"/>
      <c r="HU7" s="539"/>
      <c r="HV7" s="673"/>
      <c r="HW7" s="673">
        <f t="shared" si="54"/>
        <v>0</v>
      </c>
      <c r="HX7" s="539"/>
    </row>
    <row r="8" spans="1:232" s="17" customFormat="1" ht="20.100000000000001" hidden="1" customHeight="1">
      <c r="A8" s="6" t="s">
        <v>754</v>
      </c>
      <c r="B8" s="6" t="s">
        <v>21</v>
      </c>
      <c r="C8" s="6" t="s">
        <v>90</v>
      </c>
      <c r="D8" s="6">
        <v>2011</v>
      </c>
      <c r="E8" s="6" t="s">
        <v>85</v>
      </c>
      <c r="F8" s="6"/>
      <c r="G8" s="490"/>
      <c r="H8" s="31" t="s">
        <v>187</v>
      </c>
      <c r="I8" s="31"/>
      <c r="J8" s="31"/>
      <c r="K8" s="180"/>
      <c r="L8" s="277"/>
      <c r="M8" s="277"/>
      <c r="N8" s="277"/>
      <c r="O8" s="43"/>
      <c r="P8" s="43"/>
      <c r="Q8" s="43"/>
      <c r="R8" s="43"/>
      <c r="S8" s="43"/>
      <c r="T8" s="43"/>
      <c r="U8" s="43"/>
      <c r="V8" s="43"/>
      <c r="W8" s="43"/>
      <c r="X8" s="143"/>
      <c r="Y8" s="70" t="e">
        <f t="shared" si="0"/>
        <v>#DIV/0!</v>
      </c>
      <c r="Z8" s="143" t="s">
        <v>147</v>
      </c>
      <c r="AA8" s="145"/>
      <c r="AB8" s="145"/>
      <c r="AC8" s="6" t="s">
        <v>10</v>
      </c>
      <c r="AD8" s="493">
        <f t="shared" si="1"/>
        <v>6</v>
      </c>
      <c r="AE8" s="493">
        <f t="shared" si="2"/>
        <v>6</v>
      </c>
      <c r="AF8" s="7"/>
      <c r="AG8" s="6">
        <v>6</v>
      </c>
      <c r="AH8" s="272"/>
      <c r="AI8" s="272"/>
      <c r="AJ8" s="798">
        <v>391.83999999999992</v>
      </c>
      <c r="AK8" s="278">
        <v>470.86</v>
      </c>
      <c r="AL8" s="586">
        <f t="shared" si="3"/>
        <v>65.306666666666658</v>
      </c>
      <c r="AM8" s="8">
        <f t="shared" si="4"/>
        <v>78.476666666666674</v>
      </c>
      <c r="AN8" s="35">
        <v>6</v>
      </c>
      <c r="AO8" s="35">
        <v>4.99</v>
      </c>
      <c r="AP8" s="35">
        <v>391.52</v>
      </c>
      <c r="AQ8" s="35"/>
      <c r="AR8" s="35"/>
      <c r="AS8" s="35"/>
      <c r="AT8" s="35"/>
      <c r="AU8" s="35"/>
      <c r="AV8" s="7"/>
      <c r="AW8" s="51">
        <v>0</v>
      </c>
      <c r="AX8" s="53" t="e">
        <f>AW8/O8</f>
        <v>#DIV/0!</v>
      </c>
      <c r="AY8" s="35"/>
      <c r="AZ8" s="34" t="s">
        <v>398</v>
      </c>
      <c r="BA8" s="547" t="s">
        <v>98</v>
      </c>
      <c r="BB8" s="504">
        <v>1052631.5789473683</v>
      </c>
      <c r="BC8" s="504">
        <f>BB8/AJ8</f>
        <v>2686.3811222625777</v>
      </c>
      <c r="BD8" s="392">
        <f>BB8/AK8</f>
        <v>2235.5510745176239</v>
      </c>
      <c r="BE8" s="392">
        <f>BB8/AD8</f>
        <v>175438.59649122806</v>
      </c>
      <c r="BF8" s="31"/>
      <c r="BG8" s="31"/>
      <c r="BH8" s="126">
        <v>40816</v>
      </c>
      <c r="BI8" s="126"/>
      <c r="BJ8" s="660">
        <v>40632</v>
      </c>
      <c r="BK8" s="660">
        <v>40730</v>
      </c>
      <c r="BL8" s="661">
        <v>42317</v>
      </c>
      <c r="BM8" s="659">
        <f t="shared" si="5"/>
        <v>3.2666666666666666</v>
      </c>
      <c r="BN8" s="578"/>
      <c r="BO8" s="548"/>
      <c r="BP8" s="549"/>
      <c r="BQ8" s="567"/>
      <c r="BR8" s="567"/>
      <c r="BS8" s="72"/>
      <c r="BT8" s="72"/>
      <c r="BU8" s="201">
        <v>41312</v>
      </c>
      <c r="BV8" s="201">
        <f t="shared" si="6"/>
        <v>42042</v>
      </c>
      <c r="BW8" s="201"/>
      <c r="BX8" s="201" t="str">
        <f t="shared" si="7"/>
        <v>non</v>
      </c>
      <c r="BY8" s="439">
        <f t="shared" si="8"/>
        <v>11</v>
      </c>
      <c r="BZ8" s="439">
        <f>BY8*EO8</f>
        <v>27522</v>
      </c>
      <c r="CA8" s="439">
        <f t="shared" si="9"/>
        <v>-27522</v>
      </c>
      <c r="CB8" s="81"/>
      <c r="CC8" s="81"/>
      <c r="CD8" s="81"/>
      <c r="CE8" s="326" t="str">
        <f t="shared" si="10"/>
        <v>0</v>
      </c>
      <c r="CF8" s="81"/>
      <c r="CG8" s="81"/>
      <c r="CH8" s="326" t="str">
        <f t="shared" si="11"/>
        <v>0</v>
      </c>
      <c r="CI8" s="81"/>
      <c r="CJ8" s="81"/>
      <c r="CK8" s="326" t="str">
        <f t="shared" si="12"/>
        <v>0</v>
      </c>
      <c r="CL8" s="81"/>
      <c r="CM8" s="81"/>
      <c r="CN8" s="326" t="str">
        <f t="shared" si="13"/>
        <v>0</v>
      </c>
      <c r="CO8" s="83"/>
      <c r="CP8" s="365"/>
      <c r="CQ8" s="326" t="str">
        <f t="shared" si="14"/>
        <v>0</v>
      </c>
      <c r="CR8" s="292"/>
      <c r="CS8" s="159"/>
      <c r="CT8" s="81"/>
      <c r="CU8" s="159"/>
      <c r="CV8" s="326" t="str">
        <f t="shared" si="15"/>
        <v>0</v>
      </c>
      <c r="CW8" s="81"/>
      <c r="CX8" s="237">
        <v>40898</v>
      </c>
      <c r="CY8" s="230">
        <v>2011</v>
      </c>
      <c r="CZ8" s="285">
        <f t="shared" si="16"/>
        <v>5.6</v>
      </c>
      <c r="DA8" s="326" t="str">
        <f t="shared" si="17"/>
        <v>0</v>
      </c>
      <c r="DB8" s="83">
        <v>22</v>
      </c>
      <c r="DC8" s="83">
        <f t="shared" si="18"/>
        <v>22</v>
      </c>
      <c r="DD8" s="214"/>
      <c r="DE8" s="213"/>
      <c r="DF8" s="448" t="str">
        <f t="shared" si="19"/>
        <v>0</v>
      </c>
      <c r="DG8" s="459"/>
      <c r="DH8" s="395"/>
      <c r="DI8" s="396" t="str">
        <f t="shared" si="20"/>
        <v>0</v>
      </c>
      <c r="DJ8" s="179"/>
      <c r="DK8" s="214"/>
      <c r="DL8" s="448" t="str">
        <f t="shared" si="21"/>
        <v>0</v>
      </c>
      <c r="DM8" s="214"/>
      <c r="DN8" s="214"/>
      <c r="DO8" s="448" t="str">
        <f t="shared" si="22"/>
        <v>0</v>
      </c>
      <c r="DP8" s="214"/>
      <c r="DQ8" s="214"/>
      <c r="DR8" s="448" t="str">
        <f t="shared" si="23"/>
        <v>0</v>
      </c>
      <c r="DS8" s="214"/>
      <c r="DT8" s="214"/>
      <c r="DU8" s="448" t="str">
        <f t="shared" si="24"/>
        <v>0</v>
      </c>
      <c r="DV8" s="214"/>
      <c r="DW8" s="214"/>
      <c r="DX8" s="448" t="str">
        <f t="shared" si="25"/>
        <v>0</v>
      </c>
      <c r="DY8" s="214"/>
      <c r="DZ8" s="214"/>
      <c r="EA8" s="214"/>
      <c r="EB8" s="293">
        <f t="shared" si="26"/>
        <v>41568</v>
      </c>
      <c r="EC8" s="240">
        <v>41568</v>
      </c>
      <c r="ED8" s="469">
        <f t="shared" si="27"/>
        <v>0</v>
      </c>
      <c r="EE8" s="619"/>
      <c r="EF8" s="382"/>
      <c r="EG8" s="84">
        <v>41611</v>
      </c>
      <c r="EH8" s="84" t="s">
        <v>105</v>
      </c>
      <c r="EI8" s="84">
        <v>41683</v>
      </c>
      <c r="EJ8" s="478"/>
      <c r="EK8" s="533">
        <f t="shared" si="28"/>
        <v>41599</v>
      </c>
      <c r="EL8" s="384">
        <v>41683</v>
      </c>
      <c r="EM8" s="380">
        <v>2014</v>
      </c>
      <c r="EN8" s="464">
        <f t="shared" si="29"/>
        <v>2.8</v>
      </c>
      <c r="EO8" s="458">
        <v>2502</v>
      </c>
      <c r="EP8" s="159">
        <f t="shared" si="30"/>
        <v>7005.5999999999995</v>
      </c>
      <c r="EQ8" s="127"/>
      <c r="ER8" s="349"/>
      <c r="ES8" s="454">
        <f t="shared" si="31"/>
        <v>0</v>
      </c>
      <c r="ET8" s="353"/>
      <c r="EU8" s="353"/>
      <c r="EV8" s="353"/>
      <c r="EW8" s="483">
        <f t="shared" si="32"/>
        <v>0</v>
      </c>
      <c r="EX8" s="350"/>
      <c r="EY8" s="362"/>
      <c r="EZ8" s="350"/>
      <c r="FA8" s="350"/>
      <c r="FB8" s="126">
        <f t="shared" si="33"/>
        <v>731</v>
      </c>
      <c r="FC8" s="81"/>
      <c r="FD8" s="81"/>
      <c r="FE8" s="81"/>
      <c r="FF8" s="81"/>
      <c r="FG8" s="81"/>
      <c r="FH8" s="74"/>
      <c r="FI8" s="81">
        <f t="shared" si="34"/>
        <v>41933</v>
      </c>
      <c r="FJ8" s="442">
        <v>0</v>
      </c>
      <c r="FK8" s="81" t="s">
        <v>218</v>
      </c>
      <c r="FL8" s="81" t="s">
        <v>105</v>
      </c>
      <c r="FM8" s="81"/>
      <c r="FN8" s="81"/>
      <c r="FO8" s="81"/>
      <c r="FP8" s="81"/>
      <c r="FQ8" s="81"/>
      <c r="FR8" s="73">
        <v>42121</v>
      </c>
      <c r="FS8" s="73"/>
      <c r="FT8" s="132"/>
      <c r="FU8" s="132"/>
      <c r="FV8" s="81"/>
      <c r="FW8" s="81" t="s">
        <v>105</v>
      </c>
      <c r="FX8" s="528"/>
      <c r="FY8" s="652">
        <f t="shared" si="35"/>
        <v>926283</v>
      </c>
      <c r="FZ8" s="550">
        <f t="shared" si="36"/>
        <v>926283</v>
      </c>
      <c r="GA8" s="500">
        <f t="shared" si="55"/>
        <v>926283</v>
      </c>
      <c r="GB8" s="610">
        <f t="shared" si="37"/>
        <v>100000</v>
      </c>
      <c r="GC8" s="28">
        <f t="shared" si="38"/>
        <v>1967.2153081595377</v>
      </c>
      <c r="GD8" s="28">
        <f t="shared" si="39"/>
        <v>154380.5</v>
      </c>
      <c r="GE8" s="12">
        <v>340124</v>
      </c>
      <c r="GF8" s="417"/>
      <c r="GG8" s="16">
        <f t="shared" si="40"/>
        <v>56687.333333333336</v>
      </c>
      <c r="GH8" s="9">
        <f t="shared" si="41"/>
        <v>486159</v>
      </c>
      <c r="GI8" s="10">
        <v>145848</v>
      </c>
      <c r="GJ8" s="10">
        <v>340311</v>
      </c>
      <c r="GK8" s="407">
        <f t="shared" si="42"/>
        <v>81026.5</v>
      </c>
      <c r="GL8" s="9">
        <v>0</v>
      </c>
      <c r="GM8" s="12">
        <v>100000</v>
      </c>
      <c r="GN8" s="44"/>
      <c r="GO8" s="23">
        <f t="shared" si="43"/>
        <v>0.10795836693537504</v>
      </c>
      <c r="GP8" s="60"/>
      <c r="GQ8" s="60"/>
      <c r="GR8" s="12">
        <v>0</v>
      </c>
      <c r="GS8" s="28">
        <f t="shared" si="44"/>
        <v>16666.666666666668</v>
      </c>
      <c r="GT8" s="28">
        <f t="shared" si="45"/>
        <v>73354</v>
      </c>
      <c r="GU8" s="680">
        <v>0</v>
      </c>
      <c r="GV8" s="680">
        <v>0</v>
      </c>
      <c r="GW8" s="680" t="e">
        <f>(#REF!+#REF!+GV8)/AD8</f>
        <v>#REF!</v>
      </c>
      <c r="GX8" s="680">
        <v>0</v>
      </c>
      <c r="GY8" s="680">
        <f t="shared" si="46"/>
        <v>73354</v>
      </c>
      <c r="GZ8" s="681">
        <f t="shared" si="47"/>
        <v>0.47515068289065004</v>
      </c>
      <c r="HA8" s="680"/>
      <c r="HB8" s="680"/>
      <c r="HC8" s="9">
        <v>0</v>
      </c>
      <c r="HD8" s="602"/>
      <c r="HE8" s="608">
        <f t="shared" si="48"/>
        <v>0</v>
      </c>
      <c r="HF8" s="616">
        <f t="shared" si="49"/>
        <v>926283</v>
      </c>
      <c r="HG8" s="602">
        <f t="shared" ca="1" si="50"/>
        <v>926283</v>
      </c>
      <c r="HH8" s="602"/>
      <c r="HI8" s="602"/>
      <c r="HJ8" s="602">
        <f t="shared" si="51"/>
        <v>100000</v>
      </c>
      <c r="HK8" s="609">
        <f t="shared" si="52"/>
        <v>0</v>
      </c>
      <c r="HL8" s="609"/>
      <c r="HM8" s="673"/>
      <c r="HN8" s="62"/>
      <c r="HO8" s="673"/>
      <c r="HP8" s="673">
        <f t="shared" si="53"/>
        <v>0</v>
      </c>
      <c r="HQ8" s="539"/>
      <c r="HR8" s="539"/>
      <c r="HS8" s="539"/>
      <c r="HT8" s="539"/>
      <c r="HU8" s="539"/>
      <c r="HV8" s="673"/>
      <c r="HW8" s="673">
        <f t="shared" si="54"/>
        <v>0</v>
      </c>
      <c r="HX8" s="539"/>
    </row>
    <row r="9" spans="1:232" ht="20.100000000000001" hidden="1" customHeight="1">
      <c r="A9" s="6" t="s">
        <v>899</v>
      </c>
      <c r="B9" s="6" t="s">
        <v>21</v>
      </c>
      <c r="C9" s="6" t="s">
        <v>90</v>
      </c>
      <c r="D9" s="6">
        <v>2011</v>
      </c>
      <c r="E9" s="6" t="s">
        <v>81</v>
      </c>
      <c r="F9" s="6" t="s">
        <v>23</v>
      </c>
      <c r="G9" s="490" t="s">
        <v>141</v>
      </c>
      <c r="H9" s="31" t="s">
        <v>187</v>
      </c>
      <c r="I9" s="31"/>
      <c r="J9" s="31"/>
      <c r="K9" s="180"/>
      <c r="L9" s="277"/>
      <c r="M9" s="277"/>
      <c r="N9" s="277"/>
      <c r="O9" s="142">
        <v>3280</v>
      </c>
      <c r="P9" s="142">
        <f>Q9</f>
        <v>700000</v>
      </c>
      <c r="Q9" s="142">
        <v>700000</v>
      </c>
      <c r="R9" s="142">
        <f t="shared" ref="R9:R10" si="56">P9/AD9</f>
        <v>35000</v>
      </c>
      <c r="S9" s="142">
        <f t="shared" ref="S9:S10" si="57">P9/O9</f>
        <v>213.41463414634146</v>
      </c>
      <c r="T9" s="142">
        <f t="shared" ref="T9:T10" si="58">Q9/O9</f>
        <v>213.41463414634146</v>
      </c>
      <c r="U9" s="142">
        <f t="shared" ref="U9:U10" si="59">Q9/AK9</f>
        <v>409.99209300963486</v>
      </c>
      <c r="V9" s="142">
        <f t="shared" ref="V9:V10" si="60">Q9/AD9</f>
        <v>35000</v>
      </c>
      <c r="W9" s="142">
        <f t="shared" ref="W9:W10" si="61">O9/AD9</f>
        <v>164</v>
      </c>
      <c r="X9" s="143"/>
      <c r="Y9" s="522">
        <f t="shared" si="0"/>
        <v>60.975609756097562</v>
      </c>
      <c r="Z9" s="143" t="s">
        <v>163</v>
      </c>
      <c r="AA9" s="145"/>
      <c r="AB9" s="145"/>
      <c r="AC9" s="6" t="s">
        <v>9</v>
      </c>
      <c r="AD9" s="493">
        <f t="shared" si="1"/>
        <v>20</v>
      </c>
      <c r="AE9" s="493">
        <f t="shared" si="2"/>
        <v>20</v>
      </c>
      <c r="AF9" s="6">
        <v>20</v>
      </c>
      <c r="AG9" s="553"/>
      <c r="AH9" s="272"/>
      <c r="AI9" s="272"/>
      <c r="AJ9" s="35">
        <v>1707.35</v>
      </c>
      <c r="AK9" s="278">
        <v>1707.35</v>
      </c>
      <c r="AL9" s="586">
        <f t="shared" si="3"/>
        <v>85.367499999999993</v>
      </c>
      <c r="AM9" s="8">
        <f t="shared" si="4"/>
        <v>85.367499999999993</v>
      </c>
      <c r="AN9" s="35">
        <v>6.1</v>
      </c>
      <c r="AO9" s="35">
        <v>6.1</v>
      </c>
      <c r="AP9" s="35">
        <v>520.52</v>
      </c>
      <c r="AQ9" s="53">
        <v>0</v>
      </c>
      <c r="AR9" s="53">
        <v>0</v>
      </c>
      <c r="AS9" s="53">
        <f>2/AD9</f>
        <v>0.1</v>
      </c>
      <c r="AT9" s="53">
        <f>18/AD9</f>
        <v>0.9</v>
      </c>
      <c r="AU9" s="53">
        <v>0</v>
      </c>
      <c r="AV9" s="8">
        <v>461.7</v>
      </c>
      <c r="AW9" s="51"/>
      <c r="AX9" s="53">
        <f>AW9/O9</f>
        <v>0</v>
      </c>
      <c r="AY9" s="35">
        <v>2</v>
      </c>
      <c r="AZ9" s="34" t="s">
        <v>398</v>
      </c>
      <c r="BA9" s="547" t="s">
        <v>99</v>
      </c>
      <c r="BB9" s="504">
        <v>3506440.94</v>
      </c>
      <c r="BC9" s="504">
        <f>BB9/AJ9</f>
        <v>2053.7329428646735</v>
      </c>
      <c r="BD9" s="392">
        <f>BB9/AK9</f>
        <v>2053.7329428646735</v>
      </c>
      <c r="BE9" s="392">
        <f>BB9/AD9</f>
        <v>175322.04699999999</v>
      </c>
      <c r="BF9" s="31"/>
      <c r="BG9" s="31"/>
      <c r="BH9" s="126">
        <v>40816</v>
      </c>
      <c r="BI9" s="126"/>
      <c r="BJ9" s="660">
        <v>40632</v>
      </c>
      <c r="BK9" s="660">
        <v>40722</v>
      </c>
      <c r="BL9" s="661"/>
      <c r="BM9" s="659">
        <f t="shared" si="5"/>
        <v>3</v>
      </c>
      <c r="BN9" s="578"/>
      <c r="BO9" s="548"/>
      <c r="BP9" s="549"/>
      <c r="BQ9" s="567"/>
      <c r="BR9" s="567"/>
      <c r="BS9" s="72"/>
      <c r="BT9" s="72"/>
      <c r="BU9" s="201">
        <v>41310</v>
      </c>
      <c r="BV9" s="201">
        <f t="shared" si="6"/>
        <v>42040</v>
      </c>
      <c r="BW9" s="201"/>
      <c r="BX9" s="201" t="str">
        <f t="shared" si="7"/>
        <v>non</v>
      </c>
      <c r="BY9" s="439">
        <f t="shared" si="8"/>
        <v>16</v>
      </c>
      <c r="BZ9" s="439">
        <f>BY9*EO9</f>
        <v>169056</v>
      </c>
      <c r="CA9" s="439">
        <f t="shared" si="9"/>
        <v>-169056</v>
      </c>
      <c r="CB9" s="81"/>
      <c r="CC9" s="81"/>
      <c r="CD9" s="81"/>
      <c r="CE9" s="326" t="str">
        <f t="shared" si="10"/>
        <v>0</v>
      </c>
      <c r="CF9" s="81"/>
      <c r="CG9" s="81"/>
      <c r="CH9" s="326" t="str">
        <f t="shared" si="11"/>
        <v>0</v>
      </c>
      <c r="CI9" s="81"/>
      <c r="CJ9" s="81"/>
      <c r="CK9" s="326" t="str">
        <f t="shared" si="12"/>
        <v>0</v>
      </c>
      <c r="CL9" s="81"/>
      <c r="CM9" s="81"/>
      <c r="CN9" s="326" t="str">
        <f t="shared" si="13"/>
        <v>0</v>
      </c>
      <c r="CO9" s="83"/>
      <c r="CP9" s="365"/>
      <c r="CQ9" s="326" t="str">
        <f t="shared" si="14"/>
        <v>0</v>
      </c>
      <c r="CR9" s="292"/>
      <c r="CS9" s="159"/>
      <c r="CT9" s="81"/>
      <c r="CU9" s="159"/>
      <c r="CV9" s="326" t="str">
        <f t="shared" si="15"/>
        <v>0</v>
      </c>
      <c r="CW9" s="81"/>
      <c r="CX9" s="237">
        <v>40899</v>
      </c>
      <c r="CY9" s="230">
        <v>2011</v>
      </c>
      <c r="CZ9" s="285">
        <f t="shared" si="16"/>
        <v>5.9</v>
      </c>
      <c r="DA9" s="326" t="str">
        <f t="shared" si="17"/>
        <v>0</v>
      </c>
      <c r="DB9" s="83">
        <v>15</v>
      </c>
      <c r="DC9" s="83">
        <f t="shared" si="18"/>
        <v>19</v>
      </c>
      <c r="DD9" s="214"/>
      <c r="DE9" s="213"/>
      <c r="DF9" s="448" t="str">
        <f t="shared" si="19"/>
        <v>0</v>
      </c>
      <c r="DG9" s="459"/>
      <c r="DH9" s="395"/>
      <c r="DI9" s="396" t="str">
        <f t="shared" si="20"/>
        <v>0</v>
      </c>
      <c r="DJ9" s="179"/>
      <c r="DK9" s="214"/>
      <c r="DL9" s="448" t="str">
        <f t="shared" si="21"/>
        <v>0</v>
      </c>
      <c r="DM9" s="214"/>
      <c r="DN9" s="214"/>
      <c r="DO9" s="448" t="str">
        <f t="shared" si="22"/>
        <v>0</v>
      </c>
      <c r="DP9" s="214"/>
      <c r="DQ9" s="214"/>
      <c r="DR9" s="448" t="str">
        <f t="shared" si="23"/>
        <v>0</v>
      </c>
      <c r="DS9" s="214"/>
      <c r="DT9" s="214"/>
      <c r="DU9" s="448" t="str">
        <f t="shared" si="24"/>
        <v>0</v>
      </c>
      <c r="DV9" s="214"/>
      <c r="DW9" s="214"/>
      <c r="DX9" s="448" t="str">
        <f t="shared" si="25"/>
        <v>0</v>
      </c>
      <c r="DY9" s="214"/>
      <c r="DZ9" s="214"/>
      <c r="EA9" s="214"/>
      <c r="EB9" s="383">
        <f t="shared" si="26"/>
        <v>41355</v>
      </c>
      <c r="EC9" s="240">
        <v>41500</v>
      </c>
      <c r="ED9" s="469">
        <f t="shared" si="27"/>
        <v>4.833333333333333</v>
      </c>
      <c r="EE9" s="619"/>
      <c r="EF9" s="382"/>
      <c r="EG9" s="73">
        <v>41429</v>
      </c>
      <c r="EH9" s="81" t="s">
        <v>105</v>
      </c>
      <c r="EI9" s="84">
        <v>41508</v>
      </c>
      <c r="EJ9" s="382"/>
      <c r="EK9" s="533">
        <f t="shared" si="28"/>
        <v>41386</v>
      </c>
      <c r="EL9" s="240">
        <v>41529</v>
      </c>
      <c r="EM9" s="294">
        <v>2013</v>
      </c>
      <c r="EN9" s="463">
        <f t="shared" si="29"/>
        <v>4.7666666666666666</v>
      </c>
      <c r="EO9" s="458">
        <v>10566</v>
      </c>
      <c r="EP9" s="159">
        <f t="shared" si="30"/>
        <v>50364.6</v>
      </c>
      <c r="EQ9" s="84"/>
      <c r="ER9" s="349"/>
      <c r="ES9" s="454">
        <f t="shared" si="31"/>
        <v>0</v>
      </c>
      <c r="ET9" s="353"/>
      <c r="EU9" s="353"/>
      <c r="EV9" s="353"/>
      <c r="EW9" s="483">
        <f t="shared" si="32"/>
        <v>0</v>
      </c>
      <c r="EX9" s="350"/>
      <c r="EY9" s="362"/>
      <c r="EZ9" s="350"/>
      <c r="FA9" s="350"/>
      <c r="FB9" s="126">
        <f t="shared" si="33"/>
        <v>731</v>
      </c>
      <c r="FC9" s="81"/>
      <c r="FD9" s="81"/>
      <c r="FE9" s="81"/>
      <c r="FF9" s="81"/>
      <c r="FG9" s="81"/>
      <c r="FH9" s="74"/>
      <c r="FI9" s="81">
        <f t="shared" si="34"/>
        <v>41865</v>
      </c>
      <c r="FJ9" s="442">
        <v>0</v>
      </c>
      <c r="FK9" s="81" t="s">
        <v>217</v>
      </c>
      <c r="FL9" s="81" t="s">
        <v>105</v>
      </c>
      <c r="FM9" s="81"/>
      <c r="FN9" s="81" t="s">
        <v>105</v>
      </c>
      <c r="FO9" s="81">
        <v>41932</v>
      </c>
      <c r="FP9" s="81"/>
      <c r="FQ9" s="81" t="s">
        <v>105</v>
      </c>
      <c r="FR9" s="73">
        <v>42178</v>
      </c>
      <c r="FS9" s="73"/>
      <c r="FT9" s="73"/>
      <c r="FU9" s="73"/>
      <c r="FV9" s="132" t="s">
        <v>105</v>
      </c>
      <c r="FW9" s="132" t="s">
        <v>105</v>
      </c>
      <c r="FX9" s="528"/>
      <c r="FY9" s="652">
        <f t="shared" si="35"/>
        <v>3732556</v>
      </c>
      <c r="FZ9" s="550">
        <f t="shared" si="36"/>
        <v>3732556</v>
      </c>
      <c r="GA9" s="500">
        <f t="shared" si="55"/>
        <v>3732556</v>
      </c>
      <c r="GB9" s="610">
        <f t="shared" si="37"/>
        <v>355000</v>
      </c>
      <c r="GC9" s="28">
        <f t="shared" si="38"/>
        <v>2186.1692095938151</v>
      </c>
      <c r="GD9" s="28">
        <f t="shared" si="39"/>
        <v>186627.8</v>
      </c>
      <c r="GE9" s="12">
        <v>1090090</v>
      </c>
      <c r="GF9" s="417"/>
      <c r="GG9" s="16">
        <f t="shared" si="40"/>
        <v>54504.5</v>
      </c>
      <c r="GH9" s="9">
        <f t="shared" si="41"/>
        <v>2287466</v>
      </c>
      <c r="GI9" s="10">
        <v>616923</v>
      </c>
      <c r="GJ9" s="10">
        <v>1670543</v>
      </c>
      <c r="GK9" s="407">
        <f t="shared" si="42"/>
        <v>114373.3</v>
      </c>
      <c r="GL9" s="9">
        <v>0</v>
      </c>
      <c r="GM9" s="12">
        <v>355000</v>
      </c>
      <c r="GN9" s="44"/>
      <c r="GO9" s="23">
        <f t="shared" si="43"/>
        <v>9.5109088785272078E-2</v>
      </c>
      <c r="GP9" s="60"/>
      <c r="GQ9" s="60"/>
      <c r="GR9" s="12">
        <v>0</v>
      </c>
      <c r="GS9" s="28">
        <f t="shared" si="44"/>
        <v>17750</v>
      </c>
      <c r="GT9" s="28">
        <f t="shared" si="45"/>
        <v>72254.5</v>
      </c>
      <c r="GU9" s="680">
        <v>0</v>
      </c>
      <c r="GV9" s="680">
        <v>0</v>
      </c>
      <c r="GW9" s="680" t="e">
        <f>(#REF!+#REF!+GV9)/AD9</f>
        <v>#REF!</v>
      </c>
      <c r="GX9" s="680">
        <v>0</v>
      </c>
      <c r="GY9" s="680">
        <f t="shared" si="46"/>
        <v>72254.5</v>
      </c>
      <c r="GZ9" s="681">
        <f t="shared" si="47"/>
        <v>0.38715829045833472</v>
      </c>
      <c r="HA9" s="680"/>
      <c r="HB9" s="680"/>
      <c r="HC9" s="9">
        <v>0</v>
      </c>
      <c r="HD9" s="602"/>
      <c r="HE9" s="608">
        <f t="shared" si="48"/>
        <v>0</v>
      </c>
      <c r="HF9" s="616">
        <f t="shared" si="49"/>
        <v>3732556</v>
      </c>
      <c r="HG9" s="602">
        <f t="shared" ca="1" si="50"/>
        <v>3732556</v>
      </c>
      <c r="HH9" s="602"/>
      <c r="HI9" s="602"/>
      <c r="HJ9" s="602">
        <f t="shared" si="51"/>
        <v>355000</v>
      </c>
      <c r="HK9" s="609">
        <f t="shared" si="52"/>
        <v>0</v>
      </c>
      <c r="HL9" s="609"/>
      <c r="HM9" s="673"/>
      <c r="HN9" s="62"/>
      <c r="HO9" s="673"/>
      <c r="HP9" s="673">
        <f t="shared" si="53"/>
        <v>0</v>
      </c>
      <c r="HQ9" s="539"/>
      <c r="HR9" s="539"/>
      <c r="HS9" s="539"/>
      <c r="HT9" s="539"/>
      <c r="HU9" s="539"/>
      <c r="HV9" s="673"/>
      <c r="HW9" s="673">
        <f t="shared" si="54"/>
        <v>0</v>
      </c>
      <c r="HX9" s="539"/>
    </row>
    <row r="10" spans="1:232" ht="20.100000000000001" hidden="1" customHeight="1">
      <c r="A10" s="6" t="s">
        <v>900</v>
      </c>
      <c r="B10" s="6" t="s">
        <v>80</v>
      </c>
      <c r="C10" s="6" t="s">
        <v>92</v>
      </c>
      <c r="D10" s="6">
        <v>2011</v>
      </c>
      <c r="E10" s="6" t="s">
        <v>83</v>
      </c>
      <c r="F10" s="6" t="s">
        <v>86</v>
      </c>
      <c r="G10" s="490"/>
      <c r="H10" s="6" t="s">
        <v>187</v>
      </c>
      <c r="I10" s="31"/>
      <c r="J10" s="31"/>
      <c r="K10" s="180"/>
      <c r="L10" s="277"/>
      <c r="M10" s="277"/>
      <c r="N10" s="277"/>
      <c r="O10" s="142">
        <v>4531</v>
      </c>
      <c r="P10" s="142">
        <f>Q10</f>
        <v>799078</v>
      </c>
      <c r="Q10" s="142">
        <v>799078</v>
      </c>
      <c r="R10" s="142">
        <f t="shared" si="56"/>
        <v>34742.521739130432</v>
      </c>
      <c r="S10" s="142">
        <f t="shared" si="57"/>
        <v>176.35797837122047</v>
      </c>
      <c r="T10" s="142">
        <f t="shared" si="58"/>
        <v>176.35797837122047</v>
      </c>
      <c r="U10" s="142">
        <f t="shared" si="59"/>
        <v>416.95086825847386</v>
      </c>
      <c r="V10" s="142">
        <f t="shared" si="60"/>
        <v>34742.521739130432</v>
      </c>
      <c r="W10" s="142">
        <f t="shared" si="61"/>
        <v>197</v>
      </c>
      <c r="X10" s="143"/>
      <c r="Y10" s="522">
        <f t="shared" si="0"/>
        <v>50.761421319796952</v>
      </c>
      <c r="Z10" s="143" t="s">
        <v>167</v>
      </c>
      <c r="AA10" s="145"/>
      <c r="AB10" s="145"/>
      <c r="AC10" s="6" t="s">
        <v>9</v>
      </c>
      <c r="AD10" s="493">
        <f t="shared" si="1"/>
        <v>23</v>
      </c>
      <c r="AE10" s="493">
        <f t="shared" si="2"/>
        <v>23</v>
      </c>
      <c r="AF10" s="6">
        <v>23</v>
      </c>
      <c r="AG10" s="553"/>
      <c r="AH10" s="272"/>
      <c r="AI10" s="272"/>
      <c r="AJ10" s="35">
        <v>1916.48</v>
      </c>
      <c r="AK10" s="278">
        <v>1916.48</v>
      </c>
      <c r="AL10" s="586">
        <f t="shared" si="3"/>
        <v>83.325217391304349</v>
      </c>
      <c r="AM10" s="8">
        <f t="shared" si="4"/>
        <v>83.325217391304349</v>
      </c>
      <c r="AN10" s="35">
        <v>6.14</v>
      </c>
      <c r="AO10" s="35">
        <v>6.14</v>
      </c>
      <c r="AP10" s="35">
        <v>511.38</v>
      </c>
      <c r="AQ10" s="35"/>
      <c r="AR10" s="35"/>
      <c r="AS10" s="35"/>
      <c r="AT10" s="35"/>
      <c r="AU10" s="35"/>
      <c r="AV10" s="8"/>
      <c r="AW10" s="69"/>
      <c r="AX10" s="53">
        <f>AW10/O10</f>
        <v>0</v>
      </c>
      <c r="AY10" s="35">
        <v>2.5</v>
      </c>
      <c r="AZ10" s="34" t="s">
        <v>398</v>
      </c>
      <c r="BA10" s="547" t="s">
        <v>99</v>
      </c>
      <c r="BB10" s="504">
        <v>3772000</v>
      </c>
      <c r="BC10" s="504">
        <f>BB10/AJ10</f>
        <v>1968.1916847553848</v>
      </c>
      <c r="BD10" s="392">
        <f>BB10/AK10</f>
        <v>1968.1916847553848</v>
      </c>
      <c r="BE10" s="392">
        <f>BB10/AD10</f>
        <v>164000</v>
      </c>
      <c r="BF10" s="31"/>
      <c r="BG10" s="31"/>
      <c r="BH10" s="126">
        <v>40816</v>
      </c>
      <c r="BI10" s="126"/>
      <c r="BJ10" s="660">
        <v>40632</v>
      </c>
      <c r="BK10" s="660">
        <v>40730</v>
      </c>
      <c r="BL10" s="661"/>
      <c r="BM10" s="659">
        <f t="shared" si="5"/>
        <v>3.2666666666666666</v>
      </c>
      <c r="BN10" s="578"/>
      <c r="BO10" s="548"/>
      <c r="BP10" s="549"/>
      <c r="BQ10" s="567"/>
      <c r="BR10" s="567"/>
      <c r="BS10" s="72"/>
      <c r="BT10" s="72"/>
      <c r="BU10" s="201">
        <v>41309</v>
      </c>
      <c r="BV10" s="201">
        <f t="shared" si="6"/>
        <v>42039</v>
      </c>
      <c r="BW10" s="201"/>
      <c r="BX10" s="201" t="str">
        <f t="shared" si="7"/>
        <v>non</v>
      </c>
      <c r="BY10" s="439">
        <f t="shared" si="8"/>
        <v>18</v>
      </c>
      <c r="BZ10" s="439">
        <f t="shared" ref="BZ10" si="62">IF((BY10*EO10)&lt;0,"0",BY10*EO10)</f>
        <v>218088</v>
      </c>
      <c r="CA10" s="439">
        <f t="shared" si="9"/>
        <v>-218088</v>
      </c>
      <c r="CB10" s="81"/>
      <c r="CC10" s="81"/>
      <c r="CD10" s="81"/>
      <c r="CE10" s="326" t="str">
        <f t="shared" si="10"/>
        <v>0</v>
      </c>
      <c r="CF10" s="81"/>
      <c r="CG10" s="81"/>
      <c r="CH10" s="326" t="str">
        <f t="shared" si="11"/>
        <v>0</v>
      </c>
      <c r="CI10" s="81"/>
      <c r="CJ10" s="81"/>
      <c r="CK10" s="326" t="str">
        <f t="shared" si="12"/>
        <v>0</v>
      </c>
      <c r="CL10" s="81"/>
      <c r="CM10" s="81"/>
      <c r="CN10" s="326" t="str">
        <f t="shared" si="13"/>
        <v>0</v>
      </c>
      <c r="CO10" s="83"/>
      <c r="CP10" s="365"/>
      <c r="CQ10" s="326" t="str">
        <f t="shared" si="14"/>
        <v>0</v>
      </c>
      <c r="CR10" s="292"/>
      <c r="CS10" s="159"/>
      <c r="CT10" s="81"/>
      <c r="CU10" s="159"/>
      <c r="CV10" s="326" t="str">
        <f t="shared" si="15"/>
        <v>0</v>
      </c>
      <c r="CW10" s="81"/>
      <c r="CX10" s="237">
        <v>40898</v>
      </c>
      <c r="CY10" s="230">
        <v>2011</v>
      </c>
      <c r="CZ10" s="285">
        <f t="shared" si="16"/>
        <v>5.6</v>
      </c>
      <c r="DA10" s="326" t="str">
        <f t="shared" si="17"/>
        <v>0</v>
      </c>
      <c r="DB10" s="83">
        <v>16</v>
      </c>
      <c r="DC10" s="83">
        <f t="shared" si="18"/>
        <v>18</v>
      </c>
      <c r="DD10" s="214"/>
      <c r="DE10" s="213"/>
      <c r="DF10" s="448" t="str">
        <f t="shared" si="19"/>
        <v>0</v>
      </c>
      <c r="DG10" s="459"/>
      <c r="DH10" s="395"/>
      <c r="DI10" s="396" t="str">
        <f t="shared" si="20"/>
        <v>0</v>
      </c>
      <c r="DJ10" s="179"/>
      <c r="DK10" s="214"/>
      <c r="DL10" s="448" t="str">
        <f t="shared" si="21"/>
        <v>0</v>
      </c>
      <c r="DM10" s="214"/>
      <c r="DN10" s="214"/>
      <c r="DO10" s="448" t="str">
        <f t="shared" si="22"/>
        <v>0</v>
      </c>
      <c r="DP10" s="214"/>
      <c r="DQ10" s="214"/>
      <c r="DR10" s="448" t="str">
        <f t="shared" si="23"/>
        <v>0</v>
      </c>
      <c r="DS10" s="214"/>
      <c r="DT10" s="214"/>
      <c r="DU10" s="448" t="str">
        <f t="shared" si="24"/>
        <v>0</v>
      </c>
      <c r="DV10" s="214"/>
      <c r="DW10" s="214"/>
      <c r="DX10" s="448" t="str">
        <f t="shared" si="25"/>
        <v>0</v>
      </c>
      <c r="DY10" s="214"/>
      <c r="DZ10" s="214"/>
      <c r="EA10" s="214"/>
      <c r="EB10" s="383">
        <f t="shared" si="26"/>
        <v>41385</v>
      </c>
      <c r="EC10" s="240">
        <v>41473</v>
      </c>
      <c r="ED10" s="469">
        <f t="shared" si="27"/>
        <v>2.9333333333333331</v>
      </c>
      <c r="EE10" s="619"/>
      <c r="EF10" s="382"/>
      <c r="EG10" s="73">
        <v>41470</v>
      </c>
      <c r="EH10" s="81" t="s">
        <v>105</v>
      </c>
      <c r="EI10" s="84">
        <v>41486</v>
      </c>
      <c r="EJ10" s="382"/>
      <c r="EK10" s="533">
        <f t="shared" si="28"/>
        <v>41415</v>
      </c>
      <c r="EL10" s="240">
        <v>41486</v>
      </c>
      <c r="EM10" s="294">
        <v>2013</v>
      </c>
      <c r="EN10" s="463">
        <f t="shared" si="29"/>
        <v>2.3666666666666667</v>
      </c>
      <c r="EO10" s="458">
        <v>12116</v>
      </c>
      <c r="EP10" s="159">
        <f t="shared" si="30"/>
        <v>28674.533333333333</v>
      </c>
      <c r="EQ10" s="84"/>
      <c r="ER10" s="349"/>
      <c r="ES10" s="454">
        <f t="shared" si="31"/>
        <v>0</v>
      </c>
      <c r="ET10" s="353"/>
      <c r="EU10" s="353"/>
      <c r="EV10" s="353"/>
      <c r="EW10" s="483">
        <f t="shared" si="32"/>
        <v>0</v>
      </c>
      <c r="EX10" s="350"/>
      <c r="EY10" s="362"/>
      <c r="EZ10" s="350"/>
      <c r="FA10" s="350"/>
      <c r="FB10" s="126">
        <f t="shared" si="33"/>
        <v>731</v>
      </c>
      <c r="FC10" s="81"/>
      <c r="FD10" s="81"/>
      <c r="FE10" s="81"/>
      <c r="FF10" s="81"/>
      <c r="FG10" s="81"/>
      <c r="FH10" s="74" t="s">
        <v>105</v>
      </c>
      <c r="FI10" s="81">
        <f t="shared" si="34"/>
        <v>41838</v>
      </c>
      <c r="FJ10" s="442">
        <v>0</v>
      </c>
      <c r="FK10" s="81" t="s">
        <v>105</v>
      </c>
      <c r="FL10" s="81"/>
      <c r="FM10" s="81"/>
      <c r="FN10" s="81"/>
      <c r="FO10" s="123" t="s">
        <v>216</v>
      </c>
      <c r="FP10" s="123"/>
      <c r="FQ10" s="123" t="s">
        <v>105</v>
      </c>
      <c r="FR10" s="73">
        <v>42664</v>
      </c>
      <c r="FS10" s="73"/>
      <c r="FT10" s="132"/>
      <c r="FU10" s="132"/>
      <c r="FV10" s="132" t="s">
        <v>105</v>
      </c>
      <c r="FW10" s="132" t="s">
        <v>105</v>
      </c>
      <c r="FX10" s="528"/>
      <c r="FY10" s="652">
        <f t="shared" si="35"/>
        <v>4024614</v>
      </c>
      <c r="FZ10" s="550">
        <f t="shared" si="36"/>
        <v>4024614</v>
      </c>
      <c r="GA10" s="500">
        <f t="shared" si="55"/>
        <v>4024614</v>
      </c>
      <c r="GB10" s="610">
        <f t="shared" si="37"/>
        <v>239587</v>
      </c>
      <c r="GC10" s="28">
        <f t="shared" si="38"/>
        <v>2100.0031307396894</v>
      </c>
      <c r="GD10" s="28">
        <f t="shared" si="39"/>
        <v>174983.21739130435</v>
      </c>
      <c r="GE10" s="12">
        <v>1191366</v>
      </c>
      <c r="GF10" s="417"/>
      <c r="GG10" s="16">
        <f t="shared" si="40"/>
        <v>51798.521739130432</v>
      </c>
      <c r="GH10" s="9">
        <f t="shared" si="41"/>
        <v>2593661</v>
      </c>
      <c r="GI10" s="10">
        <v>592565</v>
      </c>
      <c r="GJ10" s="10">
        <v>2001096</v>
      </c>
      <c r="GK10" s="407">
        <f t="shared" si="42"/>
        <v>112767.86956521739</v>
      </c>
      <c r="GL10" s="9">
        <v>0</v>
      </c>
      <c r="GM10" s="12">
        <v>239587</v>
      </c>
      <c r="GN10" s="44"/>
      <c r="GO10" s="23">
        <f t="shared" si="43"/>
        <v>5.9530429502059078E-2</v>
      </c>
      <c r="GP10" s="60"/>
      <c r="GQ10" s="60"/>
      <c r="GR10" s="12">
        <v>0</v>
      </c>
      <c r="GS10" s="28">
        <f t="shared" si="44"/>
        <v>10416.826086956522</v>
      </c>
      <c r="GT10" s="28">
        <f t="shared" si="45"/>
        <v>62215.34782608696</v>
      </c>
      <c r="GU10" s="680">
        <v>0</v>
      </c>
      <c r="GV10" s="680">
        <v>0</v>
      </c>
      <c r="GW10" s="680" t="e">
        <f>(#REF!+#REF!+GV10)/AD10</f>
        <v>#REF!</v>
      </c>
      <c r="GX10" s="680">
        <v>0</v>
      </c>
      <c r="GY10" s="680">
        <f t="shared" si="46"/>
        <v>62215.34782608696</v>
      </c>
      <c r="GZ10" s="681">
        <f t="shared" si="47"/>
        <v>0.3555503707933233</v>
      </c>
      <c r="HA10" s="680"/>
      <c r="HB10" s="680"/>
      <c r="HC10" s="9">
        <v>0</v>
      </c>
      <c r="HD10" s="602"/>
      <c r="HE10" s="608">
        <f t="shared" si="48"/>
        <v>0</v>
      </c>
      <c r="HF10" s="616">
        <f t="shared" si="49"/>
        <v>4024614</v>
      </c>
      <c r="HG10" s="602">
        <f t="shared" ca="1" si="50"/>
        <v>4024614</v>
      </c>
      <c r="HH10" s="602"/>
      <c r="HI10" s="602"/>
      <c r="HJ10" s="602">
        <f t="shared" si="51"/>
        <v>239587</v>
      </c>
      <c r="HK10" s="609">
        <f t="shared" si="52"/>
        <v>0</v>
      </c>
      <c r="HL10" s="609"/>
      <c r="HM10" s="673">
        <v>891462.21</v>
      </c>
      <c r="HN10" s="62">
        <v>867000</v>
      </c>
      <c r="HO10" s="673">
        <f>349189.03+13127.6</f>
        <v>362316.63</v>
      </c>
      <c r="HP10" s="673">
        <f t="shared" si="53"/>
        <v>1849289.49</v>
      </c>
      <c r="HQ10" s="539">
        <f>553988.42+57000</f>
        <v>610988.42000000004</v>
      </c>
      <c r="HR10" s="539">
        <v>215846.06999999998</v>
      </c>
      <c r="HS10" s="539">
        <v>130000</v>
      </c>
      <c r="HT10" s="539">
        <v>483870</v>
      </c>
      <c r="HU10" s="539">
        <v>408585</v>
      </c>
      <c r="HV10" s="673">
        <f>376848+214500+211317</f>
        <v>802665</v>
      </c>
      <c r="HW10" s="673">
        <f t="shared" si="54"/>
        <v>3905733.33</v>
      </c>
      <c r="HX10" s="539"/>
    </row>
    <row r="11" spans="1:232" ht="20.100000000000001" hidden="1" customHeight="1">
      <c r="A11" s="820" t="s">
        <v>934</v>
      </c>
      <c r="B11" s="6" t="s">
        <v>14</v>
      </c>
      <c r="C11" s="6" t="s">
        <v>90</v>
      </c>
      <c r="D11" s="6">
        <v>2017</v>
      </c>
      <c r="E11" s="6"/>
      <c r="F11" s="6" t="s">
        <v>309</v>
      </c>
      <c r="G11" s="6" t="s">
        <v>605</v>
      </c>
      <c r="H11" s="6" t="s">
        <v>138</v>
      </c>
      <c r="I11" s="31"/>
      <c r="J11" s="31" t="s">
        <v>311</v>
      </c>
      <c r="K11" s="180" t="s">
        <v>368</v>
      </c>
      <c r="L11" s="111" t="s">
        <v>44</v>
      </c>
      <c r="M11" s="67" t="s">
        <v>339</v>
      </c>
      <c r="N11" s="68">
        <v>34851</v>
      </c>
      <c r="O11" s="159"/>
      <c r="P11" s="159"/>
      <c r="Q11" s="159"/>
      <c r="R11" s="159"/>
      <c r="S11" s="159"/>
      <c r="T11" s="386"/>
      <c r="U11" s="386"/>
      <c r="V11" s="386"/>
      <c r="W11" s="159"/>
      <c r="X11" s="143"/>
      <c r="Y11" s="525" t="e">
        <f t="shared" ref="Y11:Y30" si="63">10000*AD11/O11</f>
        <v>#DIV/0!</v>
      </c>
      <c r="Z11" s="143"/>
      <c r="AA11" s="145"/>
      <c r="AB11" s="146"/>
      <c r="AC11" s="6" t="s">
        <v>308</v>
      </c>
      <c r="AD11" s="493">
        <f t="shared" ref="AD11:AD30" si="64">SUM(AF11:AI11)</f>
        <v>10</v>
      </c>
      <c r="AE11" s="493">
        <f t="shared" ref="AE11:AE30" si="65">AD11-AI11</f>
        <v>0</v>
      </c>
      <c r="AF11" s="7"/>
      <c r="AG11" s="7"/>
      <c r="AH11" s="42"/>
      <c r="AI11" s="131">
        <v>10</v>
      </c>
      <c r="AJ11" s="796"/>
      <c r="AK11" s="278"/>
      <c r="AL11" s="586">
        <f t="shared" ref="AL11:AL30" si="66">AJ11/AD11</f>
        <v>0</v>
      </c>
      <c r="AM11" s="8">
        <f t="shared" ref="AM11:AM30" si="67">AK11/AD11</f>
        <v>0</v>
      </c>
      <c r="AN11" s="35"/>
      <c r="AO11" s="35"/>
      <c r="AP11" s="35"/>
      <c r="AQ11" s="53"/>
      <c r="AR11" s="53"/>
      <c r="AS11" s="53"/>
      <c r="AT11" s="53"/>
      <c r="AU11" s="53"/>
      <c r="AV11" s="8"/>
      <c r="AW11" s="69"/>
      <c r="AX11" s="53"/>
      <c r="AY11" s="35"/>
      <c r="AZ11" s="31"/>
      <c r="BA11" s="6"/>
      <c r="BB11" s="31"/>
      <c r="BC11" s="31"/>
      <c r="BD11" s="31"/>
      <c r="BE11" s="31"/>
      <c r="BF11" s="31"/>
      <c r="BG11" s="31"/>
      <c r="BH11" s="31"/>
      <c r="BI11" s="31"/>
      <c r="BJ11" s="660">
        <v>42824</v>
      </c>
      <c r="BK11" s="660">
        <v>43005</v>
      </c>
      <c r="BL11" s="661"/>
      <c r="BM11" s="659">
        <f t="shared" ref="BM11:BM30" si="68">(DATEDIF(BJ11,BK11,"d"))/30</f>
        <v>6.0333333333333332</v>
      </c>
      <c r="BN11" s="578"/>
      <c r="BO11" s="109">
        <v>43081</v>
      </c>
      <c r="BP11" s="138">
        <v>43235</v>
      </c>
      <c r="BQ11" s="655">
        <f>(DATEDIF(BO11,BP11,"d"))/30</f>
        <v>5.1333333333333337</v>
      </c>
      <c r="BR11" s="638">
        <v>78082</v>
      </c>
      <c r="BS11" s="110">
        <f>DATE(YEAR(BP11),MONTH(BP11)+3,DAY(BP11))</f>
        <v>43327</v>
      </c>
      <c r="BT11" s="110"/>
      <c r="BU11" s="202">
        <v>43344</v>
      </c>
      <c r="BV11" s="201">
        <f t="shared" ref="BV11:BV30" si="69">DATE(YEAR(BU11),MONTH(BU11)+24,DAY(BU11))</f>
        <v>44075</v>
      </c>
      <c r="BW11" s="439"/>
      <c r="BX11" s="555"/>
      <c r="BY11" s="556"/>
      <c r="BZ11" s="556"/>
      <c r="CA11" s="556"/>
      <c r="CB11" s="214">
        <v>42773</v>
      </c>
      <c r="CC11" s="81"/>
      <c r="CD11" s="81"/>
      <c r="CE11" s="326" t="str">
        <f t="shared" ref="CE11:CE30" si="70">IF(AND(CC11&gt;0,CD11&gt;0),CD11-CC11,"0")</f>
        <v>0</v>
      </c>
      <c r="CF11" s="81">
        <v>42874</v>
      </c>
      <c r="CG11" s="81">
        <v>42879</v>
      </c>
      <c r="CH11" s="326">
        <f t="shared" ref="CH11:CH30" si="71">IF(AND(CF11&gt;0,CG11&gt;0),CG11-CF11,"0")</f>
        <v>5</v>
      </c>
      <c r="CI11" s="214">
        <v>42877</v>
      </c>
      <c r="CJ11" s="214">
        <v>42853</v>
      </c>
      <c r="CK11" s="326">
        <f t="shared" ref="CK11:CK30" si="72">IF(AND(CI11&gt;0,CJ11&gt;0),CJ11-CI11,"0")</f>
        <v>-24</v>
      </c>
      <c r="CL11" s="341">
        <v>42879</v>
      </c>
      <c r="CM11" s="339">
        <f ca="1">IF(CL11&lt;TODAY(),TODAY(),CL11)</f>
        <v>43950</v>
      </c>
      <c r="CN11" s="326">
        <f t="shared" ref="CN11:CN30" ca="1" si="73">IF(AND(CL11&gt;0,CM11&gt;0),CM11-CL11,"0")</f>
        <v>1071</v>
      </c>
      <c r="CO11" s="341">
        <v>42962</v>
      </c>
      <c r="CP11" s="341">
        <f ca="1">IF(CO11&lt;TODAY(),TODAY(),CO11)</f>
        <v>43950</v>
      </c>
      <c r="CQ11" s="326">
        <f t="shared" ref="CQ11:CQ30" ca="1" si="74">IF(AND(CO11&gt;0,CP11&gt;0),CP11-CO11,"0")</f>
        <v>988</v>
      </c>
      <c r="CR11" s="290"/>
      <c r="CS11" s="346">
        <v>43249</v>
      </c>
      <c r="CT11" s="337">
        <v>43045</v>
      </c>
      <c r="CU11" s="335">
        <f ca="1">IF(CT11&lt;TODAY(),TODAY(),CT11)</f>
        <v>43950</v>
      </c>
      <c r="CV11" s="332">
        <f ca="1">IF(AND(CT11&gt;0,CU11&gt;0),CU11-CT11,"0")</f>
        <v>905</v>
      </c>
      <c r="CW11" s="337">
        <v>43049</v>
      </c>
      <c r="CX11" s="282">
        <v>43362</v>
      </c>
      <c r="CY11" s="283">
        <v>2018</v>
      </c>
      <c r="CZ11" s="288">
        <f t="shared" ref="CZ11:CZ30" si="75">(DATEDIF(BK11,CX11,"d"))/30</f>
        <v>11.9</v>
      </c>
      <c r="DA11" s="332">
        <f t="shared" ref="DA11:DA30" si="76">IF(AND(CW11&gt;0,CX11&gt;0),CX11-CW11,"0")</f>
        <v>313</v>
      </c>
      <c r="DB11" s="179">
        <v>12</v>
      </c>
      <c r="DC11" s="76">
        <f t="shared" ref="DC11:DC30" si="77">DATEDIF(CX11,EC11,"M")</f>
        <v>8</v>
      </c>
      <c r="DD11" s="330"/>
      <c r="DE11" s="335">
        <f ca="1">IF(DD11&lt;TODAY(),TODAY(),DD11)</f>
        <v>43950</v>
      </c>
      <c r="DF11" s="332" t="str">
        <f t="shared" ref="DF11:DF30" ca="1" si="78">IF(AND(DD11&gt;0,DE11&gt;0),DE11-DD11,"0")</f>
        <v>0</v>
      </c>
      <c r="DG11" s="792"/>
      <c r="DH11" s="348">
        <f ca="1">IF(DG11&lt;TODAY(),TODAY(),DG11)</f>
        <v>43950</v>
      </c>
      <c r="DI11" s="396" t="str">
        <f t="shared" ref="DI11:DI30" ca="1" si="79">IF(AND(DG11&gt;0,DH11&gt;0),DH11-DG11,"0")</f>
        <v>0</v>
      </c>
      <c r="DJ11" s="335"/>
      <c r="DK11" s="335">
        <f ca="1">IF(DJ11&lt;TODAY(),TODAY(),DJ11)</f>
        <v>43950</v>
      </c>
      <c r="DL11" s="332" t="str">
        <f t="shared" ref="DL11:DL30" ca="1" si="80">IF(AND(DJ11&gt;0,DK11&gt;0),DK11-DJ11,"0")</f>
        <v>0</v>
      </c>
      <c r="DM11" s="335">
        <v>43499</v>
      </c>
      <c r="DN11" s="335">
        <f ca="1">IF(DM11&lt;TODAY(),TODAY(),DM11)</f>
        <v>43950</v>
      </c>
      <c r="DO11" s="332">
        <f t="shared" ref="DO11:DO30" ca="1" si="81">IF(AND(DM11&gt;0,DN11&gt;0),DN11-DM11,"0")</f>
        <v>451</v>
      </c>
      <c r="DP11" s="336"/>
      <c r="DQ11" s="336"/>
      <c r="DR11" s="332" t="str">
        <f t="shared" ref="DR11:DR30" si="82">IF(AND(DP11&gt;0,DQ11&gt;0),DQ11-DP11,"0")</f>
        <v>0</v>
      </c>
      <c r="DS11" s="335"/>
      <c r="DT11" s="335">
        <f ca="1">IF(DS11&lt;TODAY(),TODAY(),DS11)</f>
        <v>43950</v>
      </c>
      <c r="DU11" s="332" t="str">
        <f t="shared" ref="DU11:DU30" ca="1" si="83">IF(AND(DS11&gt;0,DT11&gt;0),DT11-DS11,"0")</f>
        <v>0</v>
      </c>
      <c r="DV11" s="335">
        <v>43576</v>
      </c>
      <c r="DW11" s="335">
        <f ca="1">IF(DV11&lt;TODAY(),TODAY(),DV11)</f>
        <v>43950</v>
      </c>
      <c r="DX11" s="332">
        <f t="shared" ref="DX11:DX30" ca="1" si="84">IF(AND(DV11&gt;0,DW11&gt;0),DW11-DV11,"0")</f>
        <v>374</v>
      </c>
      <c r="DY11" s="335"/>
      <c r="DZ11" s="335"/>
      <c r="EA11" s="335"/>
      <c r="EB11" s="477">
        <f t="shared" ref="EB11:EB30" si="85">DATE(YEAR(CX11),MONTH(CX11)+DB11,DAY(CX11))</f>
        <v>43727</v>
      </c>
      <c r="EC11" s="238">
        <v>43621</v>
      </c>
      <c r="ED11" s="473">
        <f t="shared" ref="ED11:ED30" si="86">(EC11-EB11)/30</f>
        <v>-3.5333333333333332</v>
      </c>
      <c r="EE11" s="622">
        <f ca="1">IF(((EC11-TODAY())/30)&lt;0,0,(EC11-TODAY())/30)</f>
        <v>0</v>
      </c>
      <c r="EF11" s="618"/>
      <c r="EG11" s="526"/>
      <c r="EH11" s="526"/>
      <c r="EI11" s="128"/>
      <c r="EJ11" s="295"/>
      <c r="EK11" s="534">
        <f>DATE(YEAR(EB11),MONTH(EB11)+1,DAY(EB11))</f>
        <v>43757</v>
      </c>
      <c r="EL11" s="476">
        <f>DATE(YEAR(EC11),MONTH(EC11)+1,DAY(EC11))</f>
        <v>43651</v>
      </c>
      <c r="EM11" s="283">
        <v>2019</v>
      </c>
      <c r="EN11" s="471">
        <f>(EL11-EK11)/30</f>
        <v>-3.5333333333333332</v>
      </c>
      <c r="EO11" s="462"/>
      <c r="EP11" s="38">
        <f t="shared" ref="EP11:EP30" si="87">EO11*EN11</f>
        <v>0</v>
      </c>
      <c r="EQ11" s="77"/>
      <c r="ER11" s="353">
        <v>0</v>
      </c>
      <c r="ES11" s="353">
        <v>35542.79</v>
      </c>
      <c r="ET11" s="353">
        <v>17638</v>
      </c>
      <c r="EU11" s="353">
        <v>14427</v>
      </c>
      <c r="EV11" s="353"/>
      <c r="EW11" s="483">
        <f>EV11/FZ11</f>
        <v>0</v>
      </c>
      <c r="EX11" s="350"/>
      <c r="EY11" s="362"/>
      <c r="EZ11" s="658" t="s">
        <v>684</v>
      </c>
      <c r="FA11" s="423" t="s">
        <v>827</v>
      </c>
      <c r="FB11" s="126">
        <f t="shared" ref="FB11:FB30" ca="1" si="88">DATE(YEAR(DH11),MONTH(DH11)+24,DAY(DH11))</f>
        <v>44680</v>
      </c>
      <c r="FC11" s="80"/>
      <c r="FD11" s="80"/>
      <c r="FE11" s="80"/>
      <c r="FF11" s="80"/>
      <c r="FG11" s="80"/>
      <c r="FH11" s="31"/>
      <c r="FI11" s="194">
        <f t="shared" ref="FI11:FI30" si="89">DATE(YEAR(EC11)+1,MONTH(EC11),DAY(EC11))</f>
        <v>43987</v>
      </c>
      <c r="FJ11" s="194"/>
      <c r="FK11" s="31"/>
      <c r="FL11" s="31"/>
      <c r="FM11" s="31"/>
      <c r="FN11" s="31"/>
      <c r="FO11" s="31"/>
      <c r="FP11" s="31"/>
      <c r="FQ11" s="31"/>
      <c r="FR11" s="31"/>
      <c r="FS11" s="31"/>
      <c r="FT11" s="31"/>
      <c r="FU11" s="31"/>
      <c r="FV11" s="31"/>
      <c r="FW11" s="31"/>
      <c r="FX11" s="529"/>
      <c r="FY11" s="652">
        <f t="shared" ref="FY11:FY30" si="90">GE11+GH11+GM11+HC11+GL11+GR11+GP11+GQ11</f>
        <v>347036</v>
      </c>
      <c r="FZ11" s="550">
        <f t="shared" ref="FZ11:FZ23" si="91">GE11+GH11+GM11+HC11+GL11+GR11+GP11+GQ11</f>
        <v>347036</v>
      </c>
      <c r="GA11" s="45"/>
      <c r="GB11" s="602">
        <f>GM11+GN11+GR11</f>
        <v>19880</v>
      </c>
      <c r="GC11" s="28" t="e">
        <f t="shared" ref="GC11:GC30" si="92">FZ11/AK11</f>
        <v>#DIV/0!</v>
      </c>
      <c r="GD11" s="28">
        <f t="shared" ref="GD11:GD30" si="93">FZ11/AD11</f>
        <v>34703.599999999999</v>
      </c>
      <c r="GE11" s="9"/>
      <c r="GF11" s="417"/>
      <c r="GG11" s="16" t="e">
        <f>#REF!/AD11</f>
        <v>#REF!</v>
      </c>
      <c r="GH11" s="9">
        <v>177156</v>
      </c>
      <c r="GI11" s="268"/>
      <c r="GJ11" s="268"/>
      <c r="GK11" s="407">
        <f t="shared" ref="GK11:GK30" si="94">GH11/AD11</f>
        <v>17715.599999999999</v>
      </c>
      <c r="GL11" s="573">
        <v>150000</v>
      </c>
      <c r="GM11" s="9">
        <v>18200</v>
      </c>
      <c r="GN11" s="45"/>
      <c r="GO11" s="23">
        <f t="shared" ref="GO11:GO30" si="95">GM11/FZ11</f>
        <v>5.2444126834103669E-2</v>
      </c>
      <c r="GP11" s="45"/>
      <c r="GQ11" s="45"/>
      <c r="GR11" s="9">
        <v>1680</v>
      </c>
      <c r="GS11" s="28">
        <f t="shared" ref="GS11:GS30" si="96">GM11/AD11</f>
        <v>1820</v>
      </c>
      <c r="GT11" s="28">
        <f t="shared" ref="GT11:GT30" si="97">(GE11+GM11)/AD11</f>
        <v>1820</v>
      </c>
      <c r="GU11" s="680"/>
      <c r="GV11" s="680"/>
      <c r="GW11" s="680" t="e">
        <f>(#REF!+#REF!+GV11)/AD11</f>
        <v>#REF!</v>
      </c>
      <c r="GX11" s="680"/>
      <c r="GY11" s="680">
        <f t="shared" ref="GY11:GY30" si="98">(GE11+GM11+GV11+GX11)/AD11</f>
        <v>1820</v>
      </c>
      <c r="GZ11" s="681" t="e">
        <f>(#REF!+#REF!+GV11+GX11)/(GU11+#REF!-HA11)</f>
        <v>#REF!</v>
      </c>
      <c r="HA11" s="680"/>
      <c r="HB11" s="680"/>
      <c r="HC11" s="9"/>
      <c r="HD11" s="602">
        <v>49386.413229999991</v>
      </c>
      <c r="HE11" s="608">
        <f t="shared" ref="HE11:HE30" si="99">HD11/FZ11</f>
        <v>0.14230919336898762</v>
      </c>
      <c r="HF11" s="602">
        <f t="shared" ref="HF11:HF30" si="100">FZ11-HD11</f>
        <v>297649.58676999999</v>
      </c>
      <c r="HG11" s="602">
        <f t="shared" ref="HG11:HG30" ca="1" si="101">IF(EE11&lt;DATEDIF(TODAY(),$HG$1,"M"),HF11,(HF11/EE11*DATEDIF(TODAY(),$HG$1,"M")))</f>
        <v>297649.58676999999</v>
      </c>
      <c r="HH11" s="608">
        <f ca="1">(HD11+HG11)/FZ11</f>
        <v>1</v>
      </c>
      <c r="HI11" s="602"/>
      <c r="HJ11" s="602">
        <f>GB11-HI11</f>
        <v>19880</v>
      </c>
      <c r="HK11" s="602">
        <f>HI11/GB11</f>
        <v>0</v>
      </c>
      <c r="HL11" s="602"/>
      <c r="HM11" s="673"/>
      <c r="HN11" s="62"/>
      <c r="HO11" s="673"/>
      <c r="HP11" s="673">
        <f t="shared" ref="HP11:HP30" si="102">HQ11+HR11+HS11+HT11+HU11</f>
        <v>0</v>
      </c>
      <c r="HQ11" s="539"/>
      <c r="HR11" s="539"/>
      <c r="HS11" s="539"/>
      <c r="HT11" s="539"/>
      <c r="HU11" s="539"/>
      <c r="HV11" s="673"/>
      <c r="HW11" s="673">
        <f t="shared" ref="HW11:HW23" si="103">HV11+HP11+HO11+HM11</f>
        <v>0</v>
      </c>
      <c r="HX11" s="539"/>
    </row>
    <row r="12" spans="1:232" ht="20.100000000000001" hidden="1" customHeight="1">
      <c r="A12" s="747" t="s">
        <v>755</v>
      </c>
      <c r="B12" s="6" t="s">
        <v>129</v>
      </c>
      <c r="C12" s="6" t="s">
        <v>92</v>
      </c>
      <c r="D12" s="6">
        <v>2015</v>
      </c>
      <c r="E12" s="6" t="s">
        <v>188</v>
      </c>
      <c r="F12" s="6" t="s">
        <v>864</v>
      </c>
      <c r="G12" s="490"/>
      <c r="H12" s="6" t="s">
        <v>137</v>
      </c>
      <c r="I12" s="31"/>
      <c r="J12" s="31"/>
      <c r="K12" s="180" t="s">
        <v>400</v>
      </c>
      <c r="L12" s="111" t="s">
        <v>43</v>
      </c>
      <c r="M12" s="749"/>
      <c r="N12" s="68"/>
      <c r="O12" s="142">
        <f>13077/58*AD12</f>
        <v>10371.413793103447</v>
      </c>
      <c r="P12" s="142">
        <f>590200/58*AD12</f>
        <v>468089.65517241386</v>
      </c>
      <c r="Q12" s="142">
        <f>590200/58*AD12</f>
        <v>468089.65517241386</v>
      </c>
      <c r="R12" s="142">
        <f>P12/AD12</f>
        <v>10175.862068965518</v>
      </c>
      <c r="S12" s="142">
        <f>P12/O12</f>
        <v>45.13267569014301</v>
      </c>
      <c r="T12" s="148">
        <f>Q12/O12</f>
        <v>45.13267569014301</v>
      </c>
      <c r="U12" s="148">
        <f>Q12/AK12</f>
        <v>115.98823370433713</v>
      </c>
      <c r="V12" s="148">
        <f>Q12/AD12</f>
        <v>10175.862068965518</v>
      </c>
      <c r="W12" s="142">
        <f>O12/AD12</f>
        <v>225.4655172413793</v>
      </c>
      <c r="X12" s="143"/>
      <c r="Y12" s="522">
        <f t="shared" si="63"/>
        <v>44.352680278351308</v>
      </c>
      <c r="Z12" s="143" t="s">
        <v>615</v>
      </c>
      <c r="AA12" s="145">
        <v>280</v>
      </c>
      <c r="AB12" s="146">
        <v>0.25</v>
      </c>
      <c r="AC12" s="15" t="s">
        <v>9</v>
      </c>
      <c r="AD12" s="493">
        <f t="shared" si="64"/>
        <v>46</v>
      </c>
      <c r="AE12" s="493">
        <f t="shared" si="65"/>
        <v>46</v>
      </c>
      <c r="AF12" s="6">
        <v>46</v>
      </c>
      <c r="AG12" s="7"/>
      <c r="AH12" s="42"/>
      <c r="AI12" s="42"/>
      <c r="AJ12" s="796">
        <v>3586.65</v>
      </c>
      <c r="AK12" s="278">
        <v>4035.6650000000013</v>
      </c>
      <c r="AL12" s="586">
        <f t="shared" si="66"/>
        <v>77.970652173913052</v>
      </c>
      <c r="AM12" s="8">
        <f t="shared" si="67"/>
        <v>87.731847826086991</v>
      </c>
      <c r="AN12" s="35">
        <v>7.21</v>
      </c>
      <c r="AO12" s="35">
        <v>6.41</v>
      </c>
      <c r="AP12" s="35">
        <v>562</v>
      </c>
      <c r="AQ12" s="53"/>
      <c r="AR12" s="53"/>
      <c r="AS12" s="53">
        <f>36/AF12</f>
        <v>0.78260869565217395</v>
      </c>
      <c r="AT12" s="53">
        <f>10/AD12</f>
        <v>0.21739130434782608</v>
      </c>
      <c r="AU12" s="53"/>
      <c r="AV12" s="8"/>
      <c r="AW12" s="51"/>
      <c r="AX12" s="53"/>
      <c r="AY12" s="37">
        <v>2</v>
      </c>
      <c r="AZ12" s="34" t="s">
        <v>398</v>
      </c>
      <c r="BA12" s="6" t="s">
        <v>98</v>
      </c>
      <c r="BB12" s="31"/>
      <c r="BC12" s="31"/>
      <c r="BD12" s="31"/>
      <c r="BE12" s="31"/>
      <c r="BF12" s="73">
        <v>41921</v>
      </c>
      <c r="BG12" s="73"/>
      <c r="BH12" s="31"/>
      <c r="BI12" s="31"/>
      <c r="BJ12" s="660">
        <v>42093</v>
      </c>
      <c r="BK12" s="660">
        <v>42304</v>
      </c>
      <c r="BL12" s="661">
        <v>42335</v>
      </c>
      <c r="BM12" s="659">
        <f t="shared" si="68"/>
        <v>7.0333333333333332</v>
      </c>
      <c r="BN12" s="578"/>
      <c r="BO12" s="109">
        <v>42614</v>
      </c>
      <c r="BP12" s="138">
        <v>42620</v>
      </c>
      <c r="BQ12" s="654">
        <f>(DATEDIF(BO12,BP12,"d"))/30</f>
        <v>0.2</v>
      </c>
      <c r="BR12" s="638">
        <v>54047</v>
      </c>
      <c r="BS12" s="110">
        <v>42711</v>
      </c>
      <c r="BT12" s="110"/>
      <c r="BU12" s="202">
        <v>42736</v>
      </c>
      <c r="BV12" s="201">
        <f t="shared" si="69"/>
        <v>43466</v>
      </c>
      <c r="BW12" s="439">
        <f>35712+134537</f>
        <v>170249</v>
      </c>
      <c r="BX12" s="201" t="str">
        <f t="shared" ref="BX12:BX30" si="104">IF(EL12&gt;BV12,"oui","non")</f>
        <v>oui</v>
      </c>
      <c r="BY12" s="557">
        <f t="shared" ref="BY12:BY30" si="105">(BV12-EL12)/30</f>
        <v>-1.6333333333333333</v>
      </c>
      <c r="BZ12" s="439" t="str">
        <f t="shared" ref="BZ12:BZ30" si="106">IF((BY12*EO12)&lt;0,"0",BY12*EO12)</f>
        <v>0</v>
      </c>
      <c r="CA12" s="439">
        <f t="shared" ref="CA12:CA30" si="107">BW12-BZ12</f>
        <v>170249</v>
      </c>
      <c r="CB12" s="81"/>
      <c r="CC12" s="81"/>
      <c r="CD12" s="81"/>
      <c r="CE12" s="326" t="str">
        <f t="shared" si="70"/>
        <v>0</v>
      </c>
      <c r="CF12" s="81"/>
      <c r="CG12" s="81"/>
      <c r="CH12" s="326" t="str">
        <f t="shared" si="71"/>
        <v>0</v>
      </c>
      <c r="CI12" s="81"/>
      <c r="CJ12" s="81"/>
      <c r="CK12" s="326" t="str">
        <f t="shared" si="72"/>
        <v>0</v>
      </c>
      <c r="CL12" s="81"/>
      <c r="CM12" s="81"/>
      <c r="CN12" s="326" t="str">
        <f t="shared" si="73"/>
        <v>0</v>
      </c>
      <c r="CO12" s="81"/>
      <c r="CP12" s="81"/>
      <c r="CQ12" s="326" t="str">
        <f t="shared" si="74"/>
        <v>0</v>
      </c>
      <c r="CR12" s="290"/>
      <c r="CS12" s="81"/>
      <c r="CT12" s="81"/>
      <c r="CU12" s="81"/>
      <c r="CV12" s="326"/>
      <c r="CW12" s="81"/>
      <c r="CX12" s="282">
        <v>42782</v>
      </c>
      <c r="CY12" s="232">
        <v>2017</v>
      </c>
      <c r="CZ12" s="286">
        <f t="shared" si="75"/>
        <v>15.933333333333334</v>
      </c>
      <c r="DA12" s="326" t="str">
        <f t="shared" si="76"/>
        <v>0</v>
      </c>
      <c r="DB12" s="179">
        <v>18</v>
      </c>
      <c r="DC12" s="76">
        <f t="shared" si="77"/>
        <v>23</v>
      </c>
      <c r="DD12" s="81">
        <v>42909</v>
      </c>
      <c r="DE12" s="81">
        <v>42909</v>
      </c>
      <c r="DF12" s="326">
        <f t="shared" si="78"/>
        <v>0</v>
      </c>
      <c r="DG12" s="459">
        <v>42942</v>
      </c>
      <c r="DH12" s="395">
        <v>43160</v>
      </c>
      <c r="DI12" s="396">
        <f t="shared" si="79"/>
        <v>218</v>
      </c>
      <c r="DJ12" s="81">
        <v>43046</v>
      </c>
      <c r="DK12" s="81">
        <v>43259</v>
      </c>
      <c r="DL12" s="326">
        <f t="shared" si="80"/>
        <v>213</v>
      </c>
      <c r="DM12" s="214">
        <v>43133</v>
      </c>
      <c r="DN12" s="214">
        <v>43278</v>
      </c>
      <c r="DO12" s="448">
        <f t="shared" si="81"/>
        <v>145</v>
      </c>
      <c r="DP12" s="81">
        <v>43182</v>
      </c>
      <c r="DQ12" s="81">
        <v>43290</v>
      </c>
      <c r="DR12" s="326">
        <f t="shared" si="82"/>
        <v>108</v>
      </c>
      <c r="DS12" s="214">
        <v>43214</v>
      </c>
      <c r="DT12" s="214">
        <v>43412</v>
      </c>
      <c r="DU12" s="448">
        <f t="shared" si="83"/>
        <v>198</v>
      </c>
      <c r="DV12" s="335">
        <v>43346</v>
      </c>
      <c r="DW12" s="335">
        <f ca="1">IF(DV12&lt;TODAY(),TODAY(),DV12)</f>
        <v>43950</v>
      </c>
      <c r="DX12" s="332">
        <f t="shared" ca="1" si="84"/>
        <v>604</v>
      </c>
      <c r="DY12" s="336"/>
      <c r="DZ12" s="336"/>
      <c r="EA12" s="336"/>
      <c r="EB12" s="383">
        <f t="shared" si="85"/>
        <v>43328</v>
      </c>
      <c r="EC12" s="238">
        <v>43503</v>
      </c>
      <c r="ED12" s="501">
        <f t="shared" si="86"/>
        <v>5.833333333333333</v>
      </c>
      <c r="EE12" s="620">
        <f ca="1">IF(((EC12-TODAY())/30)&lt;0,0,(EC12-TODAY())/30)</f>
        <v>0</v>
      </c>
      <c r="EF12" s="293">
        <f>DATE(YEAR(DH12)+2,MONTH(DH12),DAY(DH12))</f>
        <v>43891</v>
      </c>
      <c r="EG12" s="167">
        <v>43522</v>
      </c>
      <c r="EH12" s="167">
        <v>42887</v>
      </c>
      <c r="EI12" s="75">
        <v>43504</v>
      </c>
      <c r="EJ12" s="293"/>
      <c r="EK12" s="533">
        <f>DATE(YEAR(EB12),MONTH(EB12),DAY(EB12)+15)</f>
        <v>43343</v>
      </c>
      <c r="EL12" s="238">
        <v>43515</v>
      </c>
      <c r="EM12" s="232">
        <v>2019</v>
      </c>
      <c r="EN12" s="497">
        <f t="shared" ref="EN12:EN30" si="108">(DATEDIF(EK12,EL12,"d"))/30</f>
        <v>5.7333333333333334</v>
      </c>
      <c r="EO12" s="456">
        <f>319600/12</f>
        <v>26633.333333333332</v>
      </c>
      <c r="EP12" s="508">
        <f t="shared" si="87"/>
        <v>152697.77777777778</v>
      </c>
      <c r="EQ12" s="279"/>
      <c r="ER12" s="353">
        <v>0</v>
      </c>
      <c r="ES12" s="353">
        <v>0</v>
      </c>
      <c r="ET12" s="353">
        <f>481600.82*1.021</f>
        <v>491714.43721999996</v>
      </c>
      <c r="EU12" s="353">
        <v>345197.8408103516</v>
      </c>
      <c r="EV12" s="353">
        <f>75606.36*1.021</f>
        <v>77194.093559999994</v>
      </c>
      <c r="EW12" s="483">
        <f>EV12/FZ12</f>
        <v>9.1700933674838531E-3</v>
      </c>
      <c r="EX12" s="350" t="s">
        <v>510</v>
      </c>
      <c r="EY12" s="422" t="s">
        <v>677</v>
      </c>
      <c r="EZ12" s="814" t="s">
        <v>681</v>
      </c>
      <c r="FA12" s="422" t="s">
        <v>564</v>
      </c>
      <c r="FB12" s="126">
        <f t="shared" si="88"/>
        <v>43891</v>
      </c>
      <c r="FC12" s="81">
        <v>43511</v>
      </c>
      <c r="FD12" s="214">
        <v>43591</v>
      </c>
      <c r="FE12" s="80"/>
      <c r="FF12" s="218" t="s">
        <v>105</v>
      </c>
      <c r="FG12" s="80" t="s">
        <v>877</v>
      </c>
      <c r="FH12" s="271" t="s">
        <v>876</v>
      </c>
      <c r="FI12" s="214">
        <f t="shared" si="89"/>
        <v>43868</v>
      </c>
      <c r="FJ12" s="279"/>
      <c r="FK12" s="73">
        <v>43563</v>
      </c>
      <c r="FL12" s="73">
        <v>43563</v>
      </c>
      <c r="FM12" s="31"/>
      <c r="FN12" s="31"/>
      <c r="FO12" s="31"/>
      <c r="FP12" s="31"/>
      <c r="FQ12" s="31"/>
      <c r="FR12" s="31" t="s">
        <v>894</v>
      </c>
      <c r="FS12" s="31"/>
      <c r="FT12" s="215">
        <v>43791</v>
      </c>
      <c r="FU12" s="31"/>
      <c r="FV12" s="31"/>
      <c r="FW12" s="31"/>
      <c r="FX12" s="529"/>
      <c r="FY12" s="652">
        <f t="shared" si="90"/>
        <v>8418027</v>
      </c>
      <c r="FZ12" s="550">
        <f t="shared" si="91"/>
        <v>8418027</v>
      </c>
      <c r="GA12" s="500">
        <f t="shared" ref="GA12:GA30" si="109">FZ12</f>
        <v>8418027</v>
      </c>
      <c r="GB12" s="610">
        <f>GM12+GN12+GR12+GQ12+GV12+GX12</f>
        <v>489468</v>
      </c>
      <c r="GC12" s="28">
        <f t="shared" si="92"/>
        <v>2085.9082703841864</v>
      </c>
      <c r="GD12" s="28">
        <f t="shared" si="93"/>
        <v>183000.58695652173</v>
      </c>
      <c r="GE12" s="9">
        <v>2642685</v>
      </c>
      <c r="GF12" s="417"/>
      <c r="GG12" s="16">
        <f t="shared" ref="GG12:GG30" si="110">GE12/AD12</f>
        <v>57449.67391304348</v>
      </c>
      <c r="GH12" s="9">
        <f>GI12+GJ12</f>
        <v>5285874</v>
      </c>
      <c r="GI12" s="10">
        <v>1258166</v>
      </c>
      <c r="GJ12" s="10">
        <v>4027708</v>
      </c>
      <c r="GK12" s="407">
        <f t="shared" si="94"/>
        <v>114910.30434782608</v>
      </c>
      <c r="GL12" s="9"/>
      <c r="GM12" s="9">
        <v>406000</v>
      </c>
      <c r="GN12" s="45"/>
      <c r="GO12" s="23">
        <f t="shared" si="95"/>
        <v>4.8229828676006857E-2</v>
      </c>
      <c r="GP12" s="60"/>
      <c r="GQ12" s="60"/>
      <c r="GR12" s="9">
        <v>83468</v>
      </c>
      <c r="GS12" s="28">
        <f t="shared" si="96"/>
        <v>8826.0869565217399</v>
      </c>
      <c r="GT12" s="56">
        <f t="shared" si="97"/>
        <v>66275.760869565216</v>
      </c>
      <c r="GU12" s="680"/>
      <c r="GV12" s="680"/>
      <c r="GW12" s="680">
        <f>(GE12+GM12+GV12)/AD12</f>
        <v>66275.760869565216</v>
      </c>
      <c r="GX12" s="680"/>
      <c r="GY12" s="680">
        <f t="shared" si="98"/>
        <v>66275.760869565216</v>
      </c>
      <c r="GZ12" s="681">
        <f t="shared" ref="GZ12:GZ30" si="111">(GE12+GM12+GV12+GX12)/(GU12+FZ12-HA12)</f>
        <v>0.36216146610126104</v>
      </c>
      <c r="HA12" s="680"/>
      <c r="HB12" s="680"/>
      <c r="HC12" s="9">
        <f>ES12</f>
        <v>0</v>
      </c>
      <c r="HD12" s="610">
        <v>6980817.6599099981</v>
      </c>
      <c r="HE12" s="608">
        <f t="shared" si="99"/>
        <v>0.82927004865985798</v>
      </c>
      <c r="HF12" s="616">
        <f t="shared" si="100"/>
        <v>1437209.3400900019</v>
      </c>
      <c r="HG12" s="602">
        <f t="shared" ca="1" si="101"/>
        <v>1437209.3400900019</v>
      </c>
      <c r="HH12" s="608">
        <f ca="1">(HG12+HD12)/FZ12</f>
        <v>1</v>
      </c>
      <c r="HI12" s="602">
        <f>'[1]GLOBAL OPERATION'!$AG$47+65300</f>
        <v>66875</v>
      </c>
      <c r="HJ12" s="602">
        <f>GB12+GB13-HI12</f>
        <v>807025</v>
      </c>
      <c r="HK12" s="608">
        <f>HI12/(GB12+GB13)</f>
        <v>7.6524774001602014E-2</v>
      </c>
      <c r="HL12" s="608"/>
      <c r="HM12" s="673"/>
      <c r="HN12" s="62"/>
      <c r="HO12" s="673"/>
      <c r="HP12" s="673">
        <f t="shared" si="102"/>
        <v>0</v>
      </c>
      <c r="HQ12" s="539"/>
      <c r="HR12" s="539"/>
      <c r="HS12" s="539"/>
      <c r="HT12" s="539"/>
      <c r="HU12" s="539"/>
      <c r="HV12" s="673"/>
      <c r="HW12" s="673">
        <f t="shared" si="103"/>
        <v>0</v>
      </c>
      <c r="HX12" s="539"/>
    </row>
    <row r="13" spans="1:232" ht="20.100000000000001" hidden="1" customHeight="1">
      <c r="A13" s="748" t="s">
        <v>609</v>
      </c>
      <c r="B13" s="6" t="s">
        <v>33</v>
      </c>
      <c r="C13" s="6" t="s">
        <v>91</v>
      </c>
      <c r="D13" s="6">
        <v>2015</v>
      </c>
      <c r="E13" s="6" t="s">
        <v>191</v>
      </c>
      <c r="F13" s="6" t="s">
        <v>117</v>
      </c>
      <c r="G13" s="490" t="s">
        <v>143</v>
      </c>
      <c r="H13" s="6" t="s">
        <v>187</v>
      </c>
      <c r="I13" s="33"/>
      <c r="J13" s="31"/>
      <c r="K13" s="180" t="s">
        <v>268</v>
      </c>
      <c r="L13" s="111" t="s">
        <v>49</v>
      </c>
      <c r="M13" s="67" t="s">
        <v>116</v>
      </c>
      <c r="N13" s="68"/>
      <c r="O13" s="142">
        <v>1767</v>
      </c>
      <c r="P13" s="142">
        <v>210000</v>
      </c>
      <c r="Q13" s="142">
        <v>210000</v>
      </c>
      <c r="R13" s="142">
        <f>P13/AD13</f>
        <v>11666.666666666666</v>
      </c>
      <c r="S13" s="142">
        <f>P13/O13</f>
        <v>118.84550084889644</v>
      </c>
      <c r="T13" s="148">
        <f>Q13/O13</f>
        <v>118.84550084889644</v>
      </c>
      <c r="U13" s="148">
        <f>Q13/AK13</f>
        <v>122.89973137630142</v>
      </c>
      <c r="V13" s="148">
        <f>Q13/AD13</f>
        <v>11666.666666666666</v>
      </c>
      <c r="W13" s="142">
        <f>O13/AD13</f>
        <v>98.166666666666671</v>
      </c>
      <c r="X13" s="143"/>
      <c r="Y13" s="522">
        <f t="shared" si="63"/>
        <v>101.86757215619694</v>
      </c>
      <c r="Z13" s="143" t="s">
        <v>196</v>
      </c>
      <c r="AA13" s="145">
        <v>200</v>
      </c>
      <c r="AB13" s="146"/>
      <c r="AC13" s="15" t="s">
        <v>10</v>
      </c>
      <c r="AD13" s="493">
        <f t="shared" si="64"/>
        <v>18</v>
      </c>
      <c r="AE13" s="493">
        <f t="shared" si="65"/>
        <v>18</v>
      </c>
      <c r="AF13" s="7"/>
      <c r="AG13" s="6">
        <v>18</v>
      </c>
      <c r="AH13" s="42"/>
      <c r="AI13" s="42"/>
      <c r="AJ13" s="796">
        <v>1480.6299999999999</v>
      </c>
      <c r="AK13" s="278">
        <v>1708.71</v>
      </c>
      <c r="AL13" s="586">
        <f t="shared" si="66"/>
        <v>82.257222222222211</v>
      </c>
      <c r="AM13" s="8">
        <f t="shared" si="67"/>
        <v>94.928333333333342</v>
      </c>
      <c r="AN13" s="35">
        <v>5.8</v>
      </c>
      <c r="AO13" s="35">
        <v>5.0199999999999996</v>
      </c>
      <c r="AP13" s="35">
        <v>476.85</v>
      </c>
      <c r="AQ13" s="53">
        <v>0</v>
      </c>
      <c r="AR13" s="53">
        <v>0</v>
      </c>
      <c r="AS13" s="53">
        <f>10/AD13</f>
        <v>0.55555555555555558</v>
      </c>
      <c r="AT13" s="53">
        <f>4/AD13</f>
        <v>0.22222222222222221</v>
      </c>
      <c r="AU13" s="53">
        <f>4/AD13</f>
        <v>0.22222222222222221</v>
      </c>
      <c r="AV13" s="8"/>
      <c r="AW13" s="51">
        <v>0</v>
      </c>
      <c r="AX13" s="53">
        <v>0</v>
      </c>
      <c r="AY13" s="35">
        <v>3</v>
      </c>
      <c r="AZ13" s="34" t="s">
        <v>398</v>
      </c>
      <c r="BA13" s="6" t="s">
        <v>98</v>
      </c>
      <c r="BB13" s="31"/>
      <c r="BC13" s="31"/>
      <c r="BD13" s="31"/>
      <c r="BE13" s="31"/>
      <c r="BF13" s="73">
        <v>41920</v>
      </c>
      <c r="BG13" s="73"/>
      <c r="BH13" s="31"/>
      <c r="BI13" s="31"/>
      <c r="BJ13" s="660">
        <v>42093</v>
      </c>
      <c r="BK13" s="660">
        <v>42320</v>
      </c>
      <c r="BL13" s="661"/>
      <c r="BM13" s="659">
        <f t="shared" si="68"/>
        <v>7.5666666666666664</v>
      </c>
      <c r="BN13" s="578"/>
      <c r="BO13" s="109">
        <v>42608</v>
      </c>
      <c r="BP13" s="138">
        <v>42620</v>
      </c>
      <c r="BQ13" s="654">
        <f>(DATEDIF(BO13,BP13,"d"))/30</f>
        <v>0.4</v>
      </c>
      <c r="BR13" s="139"/>
      <c r="BS13" s="110">
        <v>42711</v>
      </c>
      <c r="BT13" s="110">
        <v>42648</v>
      </c>
      <c r="BU13" s="202">
        <v>42736</v>
      </c>
      <c r="BV13" s="201">
        <f t="shared" si="69"/>
        <v>43466</v>
      </c>
      <c r="BW13" s="439">
        <f>47718.4+7748.48</f>
        <v>55466.880000000005</v>
      </c>
      <c r="BX13" s="201" t="str">
        <f t="shared" si="104"/>
        <v>non</v>
      </c>
      <c r="BY13" s="557">
        <f t="shared" si="105"/>
        <v>3.2</v>
      </c>
      <c r="BZ13" s="439">
        <f t="shared" si="106"/>
        <v>32492.960392029021</v>
      </c>
      <c r="CA13" s="439">
        <f t="shared" si="107"/>
        <v>22973.919607970984</v>
      </c>
      <c r="CB13" s="81">
        <v>41813</v>
      </c>
      <c r="CC13" s="81">
        <v>41814</v>
      </c>
      <c r="CD13" s="81">
        <v>41813</v>
      </c>
      <c r="CE13" s="326">
        <f t="shared" si="70"/>
        <v>-1</v>
      </c>
      <c r="CF13" s="81">
        <v>42027</v>
      </c>
      <c r="CG13" s="81">
        <v>41996</v>
      </c>
      <c r="CH13" s="326">
        <f t="shared" si="71"/>
        <v>-31</v>
      </c>
      <c r="CI13" s="81">
        <v>42026</v>
      </c>
      <c r="CJ13" s="81">
        <v>42038</v>
      </c>
      <c r="CK13" s="326">
        <f t="shared" si="72"/>
        <v>12</v>
      </c>
      <c r="CL13" s="81">
        <v>42078</v>
      </c>
      <c r="CM13" s="81">
        <v>42128</v>
      </c>
      <c r="CN13" s="326">
        <f t="shared" si="73"/>
        <v>50</v>
      </c>
      <c r="CO13" s="81">
        <v>42186</v>
      </c>
      <c r="CP13" s="81">
        <v>42254</v>
      </c>
      <c r="CQ13" s="326">
        <f t="shared" si="74"/>
        <v>68</v>
      </c>
      <c r="CR13" s="290"/>
      <c r="CS13" s="81">
        <v>42472</v>
      </c>
      <c r="CT13" s="81">
        <v>42695</v>
      </c>
      <c r="CU13" s="81">
        <v>42769</v>
      </c>
      <c r="CV13" s="326">
        <f>IF(AND(CT13&gt;0,CU13&gt;0),CU13-CT13,"0")</f>
        <v>74</v>
      </c>
      <c r="CW13" s="81">
        <v>42783</v>
      </c>
      <c r="CX13" s="282">
        <v>42772</v>
      </c>
      <c r="CY13" s="232">
        <v>2017</v>
      </c>
      <c r="CZ13" s="286">
        <f t="shared" si="75"/>
        <v>15.066666666666666</v>
      </c>
      <c r="DA13" s="326">
        <f t="shared" si="76"/>
        <v>-11</v>
      </c>
      <c r="DB13" s="179">
        <v>16</v>
      </c>
      <c r="DC13" s="76">
        <f t="shared" si="77"/>
        <v>18</v>
      </c>
      <c r="DD13" s="81">
        <v>42800</v>
      </c>
      <c r="DE13" s="81">
        <v>42867</v>
      </c>
      <c r="DF13" s="326">
        <f t="shared" si="78"/>
        <v>67</v>
      </c>
      <c r="DG13" s="750">
        <v>42899</v>
      </c>
      <c r="DH13" s="363">
        <v>42923</v>
      </c>
      <c r="DI13" s="329">
        <f t="shared" si="79"/>
        <v>24</v>
      </c>
      <c r="DJ13" s="81">
        <v>43068</v>
      </c>
      <c r="DK13" s="81">
        <v>43064</v>
      </c>
      <c r="DL13" s="326">
        <f t="shared" si="80"/>
        <v>-4</v>
      </c>
      <c r="DM13" s="81">
        <v>43082</v>
      </c>
      <c r="DN13" s="81">
        <v>43082</v>
      </c>
      <c r="DO13" s="326">
        <f t="shared" si="81"/>
        <v>0</v>
      </c>
      <c r="DP13" s="81">
        <v>43136</v>
      </c>
      <c r="DQ13" s="81">
        <v>43144</v>
      </c>
      <c r="DR13" s="326">
        <f t="shared" si="82"/>
        <v>8</v>
      </c>
      <c r="DS13" s="81">
        <v>43216</v>
      </c>
      <c r="DT13" s="81">
        <v>43294</v>
      </c>
      <c r="DU13" s="326">
        <f t="shared" si="83"/>
        <v>78</v>
      </c>
      <c r="DV13" s="81">
        <v>43244</v>
      </c>
      <c r="DW13" s="81">
        <v>43325</v>
      </c>
      <c r="DX13" s="326">
        <f t="shared" si="84"/>
        <v>81</v>
      </c>
      <c r="DY13" s="81"/>
      <c r="DZ13" s="81"/>
      <c r="EA13" s="81"/>
      <c r="EB13" s="383">
        <f t="shared" si="85"/>
        <v>43257</v>
      </c>
      <c r="EC13" s="238">
        <v>43346</v>
      </c>
      <c r="ED13" s="501">
        <f t="shared" si="86"/>
        <v>2.9666666666666668</v>
      </c>
      <c r="EE13" s="621">
        <f ca="1">IF(((EC13-TODAY())/30)&lt;0,0,(EC13-TODAY())/30)</f>
        <v>0</v>
      </c>
      <c r="EF13" s="293">
        <f>DATE(YEAR(DH13)+2,MONTH(DH13),DAY(DH13))</f>
        <v>43653</v>
      </c>
      <c r="EG13" s="75">
        <v>43360</v>
      </c>
      <c r="EH13" s="215">
        <v>42879</v>
      </c>
      <c r="EI13" s="75">
        <v>43334</v>
      </c>
      <c r="EJ13" s="293">
        <v>43340</v>
      </c>
      <c r="EK13" s="533">
        <f>DATE(YEAR(EB13),MONTH(EB13),DAY(EB13)+15)</f>
        <v>43272</v>
      </c>
      <c r="EL13" s="238">
        <v>43370</v>
      </c>
      <c r="EM13" s="283">
        <v>2018</v>
      </c>
      <c r="EN13" s="497">
        <f t="shared" si="108"/>
        <v>3.2666666666666666</v>
      </c>
      <c r="EO13" s="456">
        <v>10154.050122509068</v>
      </c>
      <c r="EP13" s="508">
        <f t="shared" si="87"/>
        <v>33169.897066862955</v>
      </c>
      <c r="EQ13" s="214">
        <v>43328</v>
      </c>
      <c r="ER13" s="159">
        <v>0</v>
      </c>
      <c r="ES13" s="159">
        <v>0</v>
      </c>
      <c r="ET13" s="159">
        <f>174061.74*1.021</f>
        <v>177717.03653999997</v>
      </c>
      <c r="EU13" s="159">
        <v>128189</v>
      </c>
      <c r="EV13" s="159">
        <f>8252.34*1.021</f>
        <v>8425.6391399999993</v>
      </c>
      <c r="EW13" s="484">
        <f>EV13/FZ13</f>
        <v>6.1626427649845083E-3</v>
      </c>
      <c r="EX13" s="350" t="s">
        <v>793</v>
      </c>
      <c r="EY13" s="422"/>
      <c r="EZ13" s="422" t="s">
        <v>580</v>
      </c>
      <c r="FA13" s="422" t="s">
        <v>512</v>
      </c>
      <c r="FB13" s="126">
        <f t="shared" si="88"/>
        <v>43653</v>
      </c>
      <c r="FC13" s="81" t="s">
        <v>105</v>
      </c>
      <c r="FD13" s="81">
        <v>43446</v>
      </c>
      <c r="FE13" s="80"/>
      <c r="FF13" s="80"/>
      <c r="FG13" s="194" t="s">
        <v>748</v>
      </c>
      <c r="FH13" s="663" t="s">
        <v>802</v>
      </c>
      <c r="FI13" s="214">
        <f t="shared" si="89"/>
        <v>43711</v>
      </c>
      <c r="FJ13" s="194"/>
      <c r="FK13" s="31"/>
      <c r="FL13" s="73">
        <v>43417</v>
      </c>
      <c r="FM13" s="73">
        <v>43545</v>
      </c>
      <c r="FN13" s="31"/>
      <c r="FO13" s="31"/>
      <c r="FP13" s="31"/>
      <c r="FQ13" s="31"/>
      <c r="FR13" s="31" t="s">
        <v>871</v>
      </c>
      <c r="FS13" s="126"/>
      <c r="FT13" s="74" t="s">
        <v>105</v>
      </c>
      <c r="FU13" s="31"/>
      <c r="FV13" s="31"/>
      <c r="FW13" s="31"/>
      <c r="FX13" s="529"/>
      <c r="FY13" s="652">
        <f t="shared" si="90"/>
        <v>1367212</v>
      </c>
      <c r="FZ13" s="550">
        <f t="shared" si="91"/>
        <v>1367212</v>
      </c>
      <c r="GA13" s="500">
        <f t="shared" si="109"/>
        <v>1367212</v>
      </c>
      <c r="GB13" s="610">
        <f>GM13+GN13+GR13+GQ13+GV13+GX13</f>
        <v>384432</v>
      </c>
      <c r="GC13" s="28">
        <f t="shared" si="92"/>
        <v>800.14279778312289</v>
      </c>
      <c r="GD13" s="28">
        <f t="shared" si="93"/>
        <v>75956.222222222219</v>
      </c>
      <c r="GE13" s="9">
        <v>982780</v>
      </c>
      <c r="GF13" s="417"/>
      <c r="GG13" s="16">
        <f t="shared" si="110"/>
        <v>54598.888888888891</v>
      </c>
      <c r="GH13" s="9">
        <f>SUBTOTAL(9,GI13:GJ13)</f>
        <v>0</v>
      </c>
      <c r="GI13" s="10">
        <v>334225</v>
      </c>
      <c r="GJ13" s="10">
        <v>1690516</v>
      </c>
      <c r="GK13" s="407">
        <f t="shared" si="94"/>
        <v>0</v>
      </c>
      <c r="GL13" s="9"/>
      <c r="GM13" s="9">
        <v>360000</v>
      </c>
      <c r="GN13" s="45"/>
      <c r="GO13" s="23">
        <f t="shared" si="95"/>
        <v>0.26330956720684134</v>
      </c>
      <c r="GP13" s="60"/>
      <c r="GQ13" s="60"/>
      <c r="GR13" s="9">
        <v>24432</v>
      </c>
      <c r="GS13" s="28">
        <f t="shared" si="96"/>
        <v>20000</v>
      </c>
      <c r="GT13" s="56">
        <f t="shared" si="97"/>
        <v>74598.888888888891</v>
      </c>
      <c r="GU13" s="680">
        <v>0</v>
      </c>
      <c r="GV13" s="680">
        <v>0</v>
      </c>
      <c r="GW13" s="680">
        <f>(GE13+GM13+GV13)/AD13</f>
        <v>74598.888888888891</v>
      </c>
      <c r="GX13" s="680">
        <v>0</v>
      </c>
      <c r="GY13" s="680">
        <f t="shared" si="98"/>
        <v>74598.888888888891</v>
      </c>
      <c r="GZ13" s="681">
        <f t="shared" si="111"/>
        <v>0.98213005737222903</v>
      </c>
      <c r="HA13" s="680">
        <v>0</v>
      </c>
      <c r="HB13" s="680"/>
      <c r="HC13" s="9">
        <f>ES13</f>
        <v>0</v>
      </c>
      <c r="HD13" s="610">
        <v>3312676.0346199996</v>
      </c>
      <c r="HE13" s="608">
        <f t="shared" si="99"/>
        <v>2.4229424804785209</v>
      </c>
      <c r="HF13" s="616">
        <f t="shared" si="100"/>
        <v>-1945464.0346199996</v>
      </c>
      <c r="HG13" s="602">
        <f t="shared" ca="1" si="101"/>
        <v>-1945464.0346199996</v>
      </c>
      <c r="HH13" s="608">
        <f ca="1">(HG13+HD13)/FZ13</f>
        <v>1</v>
      </c>
      <c r="HI13" s="602">
        <f>'[1]GLOBAL OPERATION'!$AG$41</f>
        <v>0</v>
      </c>
      <c r="HJ13" s="602">
        <f>GB13-HI13</f>
        <v>384432</v>
      </c>
      <c r="HK13" s="608">
        <f t="shared" ref="HK13:HK30" si="112">HI13/GB13</f>
        <v>0</v>
      </c>
      <c r="HL13" s="608"/>
      <c r="HM13" s="673"/>
      <c r="HN13" s="62"/>
      <c r="HO13" s="673"/>
      <c r="HP13" s="673">
        <f t="shared" si="102"/>
        <v>0</v>
      </c>
      <c r="HQ13" s="539"/>
      <c r="HR13" s="539"/>
      <c r="HS13" s="539"/>
      <c r="HT13" s="539"/>
      <c r="HU13" s="539"/>
      <c r="HV13" s="673"/>
      <c r="HW13" s="673">
        <f t="shared" si="103"/>
        <v>0</v>
      </c>
      <c r="HX13" s="539"/>
    </row>
    <row r="14" spans="1:232" ht="20.100000000000001" hidden="1" customHeight="1">
      <c r="A14" s="767" t="s">
        <v>55</v>
      </c>
      <c r="B14" s="6" t="s">
        <v>59</v>
      </c>
      <c r="C14" s="6" t="s">
        <v>92</v>
      </c>
      <c r="D14" s="6">
        <v>2012</v>
      </c>
      <c r="E14" s="6" t="s">
        <v>61</v>
      </c>
      <c r="F14" s="6" t="s">
        <v>40</v>
      </c>
      <c r="G14" s="490"/>
      <c r="H14" s="6" t="s">
        <v>187</v>
      </c>
      <c r="I14" s="31"/>
      <c r="J14" s="31"/>
      <c r="K14" s="180"/>
      <c r="L14" s="108"/>
      <c r="M14" s="108"/>
      <c r="N14" s="108"/>
      <c r="O14" s="142">
        <v>606</v>
      </c>
      <c r="P14" s="142">
        <v>89040</v>
      </c>
      <c r="Q14" s="142">
        <v>51520</v>
      </c>
      <c r="R14" s="142">
        <f>P14/AD14</f>
        <v>12720</v>
      </c>
      <c r="S14" s="142">
        <f>P14/O14</f>
        <v>146.93069306930693</v>
      </c>
      <c r="T14" s="142">
        <f>Q14/O14</f>
        <v>85.016501650165011</v>
      </c>
      <c r="U14" s="142">
        <f>Q14/AK14</f>
        <v>96.464949071300168</v>
      </c>
      <c r="V14" s="142">
        <f>Q14/AD14</f>
        <v>7360</v>
      </c>
      <c r="W14" s="142">
        <f>O14/AD14</f>
        <v>86.571428571428569</v>
      </c>
      <c r="X14" s="143">
        <v>300</v>
      </c>
      <c r="Y14" s="522">
        <f t="shared" si="63"/>
        <v>115.51155115511551</v>
      </c>
      <c r="Z14" s="143" t="s">
        <v>163</v>
      </c>
      <c r="AA14" s="145">
        <v>606</v>
      </c>
      <c r="AB14" s="145"/>
      <c r="AC14" s="6" t="s">
        <v>10</v>
      </c>
      <c r="AD14" s="493">
        <f t="shared" si="64"/>
        <v>7</v>
      </c>
      <c r="AE14" s="493">
        <f t="shared" si="65"/>
        <v>7</v>
      </c>
      <c r="AF14" s="7"/>
      <c r="AG14" s="6">
        <v>7</v>
      </c>
      <c r="AH14" s="42"/>
      <c r="AI14" s="42"/>
      <c r="AJ14" s="36">
        <v>477.68999999999994</v>
      </c>
      <c r="AK14" s="278">
        <v>534.08000000000004</v>
      </c>
      <c r="AL14" s="586">
        <f t="shared" si="66"/>
        <v>68.241428571428557</v>
      </c>
      <c r="AM14" s="8">
        <f t="shared" si="67"/>
        <v>76.297142857142859</v>
      </c>
      <c r="AN14" s="35">
        <v>5.72</v>
      </c>
      <c r="AO14" s="35">
        <v>5.12</v>
      </c>
      <c r="AP14" s="35">
        <v>390.42</v>
      </c>
      <c r="AQ14" s="53"/>
      <c r="AR14" s="53">
        <f>2/AG14</f>
        <v>0.2857142857142857</v>
      </c>
      <c r="AS14" s="53">
        <f>4/AG14</f>
        <v>0.5714285714285714</v>
      </c>
      <c r="AT14" s="53">
        <f>1/AG14</f>
        <v>0.14285714285714285</v>
      </c>
      <c r="AU14" s="53"/>
      <c r="AV14" s="8">
        <v>217.58</v>
      </c>
      <c r="AW14" s="51">
        <v>238</v>
      </c>
      <c r="AX14" s="53">
        <f>AW14/O14</f>
        <v>0.39273927392739272</v>
      </c>
      <c r="AY14" s="35">
        <v>2</v>
      </c>
      <c r="AZ14" s="34" t="s">
        <v>398</v>
      </c>
      <c r="BA14" s="8" t="s">
        <v>98</v>
      </c>
      <c r="BB14" s="35"/>
      <c r="BC14" s="35"/>
      <c r="BD14" s="35"/>
      <c r="BE14" s="35"/>
      <c r="BF14" s="31"/>
      <c r="BG14" s="31"/>
      <c r="BH14" s="126">
        <v>40963</v>
      </c>
      <c r="BI14" s="126"/>
      <c r="BJ14" s="660">
        <v>40998</v>
      </c>
      <c r="BK14" s="660">
        <v>41171</v>
      </c>
      <c r="BL14" s="661"/>
      <c r="BM14" s="659">
        <f t="shared" si="68"/>
        <v>5.7666666666666666</v>
      </c>
      <c r="BN14" s="578"/>
      <c r="BO14" s="546"/>
      <c r="BP14" s="558">
        <v>41274</v>
      </c>
      <c r="BQ14" s="634"/>
      <c r="BR14" s="634"/>
      <c r="BS14" s="110">
        <f>DATE(YEAR(BP14),MONTH(BP14)+3,DAY(BP14))</f>
        <v>41364</v>
      </c>
      <c r="BT14" s="65"/>
      <c r="BU14" s="201">
        <v>41365</v>
      </c>
      <c r="BV14" s="201">
        <f t="shared" si="69"/>
        <v>42095</v>
      </c>
      <c r="BW14" s="439">
        <v>22679</v>
      </c>
      <c r="BX14" s="201" t="str">
        <f t="shared" si="104"/>
        <v>non</v>
      </c>
      <c r="BY14" s="557">
        <f t="shared" si="105"/>
        <v>6.7</v>
      </c>
      <c r="BZ14" s="439">
        <f t="shared" si="106"/>
        <v>18864.408333333336</v>
      </c>
      <c r="CA14" s="439">
        <f t="shared" si="107"/>
        <v>3814.5916666666635</v>
      </c>
      <c r="CB14" s="81"/>
      <c r="CC14" s="74"/>
      <c r="CD14" s="74"/>
      <c r="CE14" s="326" t="str">
        <f t="shared" si="70"/>
        <v>0</v>
      </c>
      <c r="CF14" s="81"/>
      <c r="CG14" s="81"/>
      <c r="CH14" s="326" t="str">
        <f t="shared" si="71"/>
        <v>0</v>
      </c>
      <c r="CI14" s="83"/>
      <c r="CJ14" s="81"/>
      <c r="CK14" s="326" t="str">
        <f t="shared" si="72"/>
        <v>0</v>
      </c>
      <c r="CL14" s="83"/>
      <c r="CM14" s="81"/>
      <c r="CN14" s="326" t="str">
        <f t="shared" si="73"/>
        <v>0</v>
      </c>
      <c r="CO14" s="83"/>
      <c r="CP14" s="365"/>
      <c r="CQ14" s="326" t="str">
        <f t="shared" si="74"/>
        <v>0</v>
      </c>
      <c r="CR14" s="292"/>
      <c r="CS14" s="159"/>
      <c r="CT14" s="81"/>
      <c r="CU14" s="159"/>
      <c r="CV14" s="326" t="str">
        <f>IF(AND(CT14&gt;0,CU14&gt;0),CU14-CT14,"0")</f>
        <v>0</v>
      </c>
      <c r="CW14" s="81"/>
      <c r="CX14" s="238">
        <v>41400</v>
      </c>
      <c r="CY14" s="230">
        <v>2013</v>
      </c>
      <c r="CZ14" s="285">
        <f t="shared" si="75"/>
        <v>7.6333333333333337</v>
      </c>
      <c r="DA14" s="326" t="str">
        <f t="shared" si="76"/>
        <v>0</v>
      </c>
      <c r="DB14" s="83">
        <v>10</v>
      </c>
      <c r="DC14" s="76">
        <f t="shared" si="77"/>
        <v>14</v>
      </c>
      <c r="DD14" s="214"/>
      <c r="DE14" s="213"/>
      <c r="DF14" s="448" t="str">
        <f t="shared" si="78"/>
        <v>0</v>
      </c>
      <c r="DG14" s="459"/>
      <c r="DH14" s="395"/>
      <c r="DI14" s="396" t="str">
        <f t="shared" si="79"/>
        <v>0</v>
      </c>
      <c r="DJ14" s="179"/>
      <c r="DK14" s="214"/>
      <c r="DL14" s="448" t="str">
        <f t="shared" si="80"/>
        <v>0</v>
      </c>
      <c r="DM14" s="213"/>
      <c r="DN14" s="214"/>
      <c r="DO14" s="448" t="str">
        <f t="shared" si="81"/>
        <v>0</v>
      </c>
      <c r="DP14" s="219"/>
      <c r="DQ14" s="219"/>
      <c r="DR14" s="448" t="str">
        <f t="shared" si="82"/>
        <v>0</v>
      </c>
      <c r="DS14" s="219"/>
      <c r="DT14" s="220"/>
      <c r="DU14" s="448" t="str">
        <f t="shared" si="83"/>
        <v>0</v>
      </c>
      <c r="DV14" s="214"/>
      <c r="DW14" s="213"/>
      <c r="DX14" s="448" t="str">
        <f t="shared" si="84"/>
        <v>0</v>
      </c>
      <c r="DY14" s="213"/>
      <c r="DZ14" s="213"/>
      <c r="EA14" s="213"/>
      <c r="EB14" s="293">
        <f t="shared" si="85"/>
        <v>41704</v>
      </c>
      <c r="EC14" s="240">
        <v>41831</v>
      </c>
      <c r="ED14" s="468">
        <f t="shared" si="86"/>
        <v>4.2333333333333334</v>
      </c>
      <c r="EE14" s="620"/>
      <c r="EF14" s="382"/>
      <c r="EG14" s="84">
        <v>41883</v>
      </c>
      <c r="EH14" s="75" t="s">
        <v>105</v>
      </c>
      <c r="EI14" s="75">
        <v>41894</v>
      </c>
      <c r="EJ14" s="293"/>
      <c r="EK14" s="533">
        <f>DATE(YEAR(EB14),MONTH(EB14)+1,DAY(EB14))</f>
        <v>41735</v>
      </c>
      <c r="EL14" s="238">
        <v>41894</v>
      </c>
      <c r="EM14" s="380">
        <v>2014</v>
      </c>
      <c r="EN14" s="465">
        <f t="shared" si="108"/>
        <v>5.3</v>
      </c>
      <c r="EO14" s="455">
        <f>33787/12</f>
        <v>2815.5833333333335</v>
      </c>
      <c r="EP14" s="159">
        <f t="shared" si="87"/>
        <v>14922.591666666667</v>
      </c>
      <c r="EQ14" s="84"/>
      <c r="ER14" s="353"/>
      <c r="ES14" s="454">
        <f>HC14</f>
        <v>50607</v>
      </c>
      <c r="ET14" s="353"/>
      <c r="EU14" s="353"/>
      <c r="EV14" s="353"/>
      <c r="EW14" s="483">
        <f>EV14/FZ14</f>
        <v>0</v>
      </c>
      <c r="EX14" s="354"/>
      <c r="EY14" s="369"/>
      <c r="EZ14" s="354"/>
      <c r="FA14" s="354"/>
      <c r="FB14" s="126">
        <f t="shared" si="88"/>
        <v>731</v>
      </c>
      <c r="FC14" s="81"/>
      <c r="FD14" s="81"/>
      <c r="FE14" s="81"/>
      <c r="FF14" s="81"/>
      <c r="FG14" s="132" t="s">
        <v>105</v>
      </c>
      <c r="FH14" s="81">
        <v>42082</v>
      </c>
      <c r="FI14" s="81">
        <f t="shared" si="89"/>
        <v>42196</v>
      </c>
      <c r="FJ14" s="442">
        <v>10711</v>
      </c>
      <c r="FK14" s="81">
        <v>41915</v>
      </c>
      <c r="FL14" s="81">
        <v>41918</v>
      </c>
      <c r="FM14" s="81"/>
      <c r="FN14" s="81" t="s">
        <v>105</v>
      </c>
      <c r="FO14" s="81">
        <v>42346</v>
      </c>
      <c r="FP14" s="81"/>
      <c r="FQ14" s="81" t="s">
        <v>105</v>
      </c>
      <c r="FR14" s="81"/>
      <c r="FS14" s="73">
        <v>42851</v>
      </c>
      <c r="FT14" s="132" t="s">
        <v>105</v>
      </c>
      <c r="FU14" s="81" t="s">
        <v>105</v>
      </c>
      <c r="FV14" s="132" t="s">
        <v>105</v>
      </c>
      <c r="FW14" s="132" t="s">
        <v>105</v>
      </c>
      <c r="FX14" s="530"/>
      <c r="FY14" s="652">
        <f t="shared" si="90"/>
        <v>1127563</v>
      </c>
      <c r="FZ14" s="550">
        <f t="shared" si="91"/>
        <v>1127563</v>
      </c>
      <c r="GA14" s="500">
        <f t="shared" si="109"/>
        <v>1127563</v>
      </c>
      <c r="GB14" s="610">
        <f>GM14+GN14+GR14</f>
        <v>177688</v>
      </c>
      <c r="GC14" s="28">
        <f t="shared" si="92"/>
        <v>2111.2249101258235</v>
      </c>
      <c r="GD14" s="28">
        <f t="shared" si="93"/>
        <v>161080.42857142858</v>
      </c>
      <c r="GE14" s="9">
        <v>294297</v>
      </c>
      <c r="GF14" s="417"/>
      <c r="GG14" s="16">
        <f t="shared" si="110"/>
        <v>42042.428571428572</v>
      </c>
      <c r="GH14" s="9">
        <f>+GI14+GJ14</f>
        <v>604971</v>
      </c>
      <c r="GI14" s="10">
        <v>112853</v>
      </c>
      <c r="GJ14" s="10">
        <v>492118</v>
      </c>
      <c r="GK14" s="407">
        <f t="shared" si="94"/>
        <v>86424.428571428565</v>
      </c>
      <c r="GL14" s="9">
        <v>0</v>
      </c>
      <c r="GM14" s="12">
        <v>177688</v>
      </c>
      <c r="GN14" s="44"/>
      <c r="GO14" s="23">
        <f t="shared" si="95"/>
        <v>0.15758587325054121</v>
      </c>
      <c r="GP14" s="45"/>
      <c r="GQ14" s="45"/>
      <c r="GR14" s="12">
        <v>0</v>
      </c>
      <c r="GS14" s="28">
        <f t="shared" si="96"/>
        <v>25384</v>
      </c>
      <c r="GT14" s="28">
        <f t="shared" si="97"/>
        <v>67426.428571428565</v>
      </c>
      <c r="GU14" s="680">
        <v>176884.08837750001</v>
      </c>
      <c r="GV14" s="680">
        <v>119543.69426743503</v>
      </c>
      <c r="GW14" s="680" t="e">
        <f>(#REF!+#REF!+GV14)/AD14</f>
        <v>#REF!</v>
      </c>
      <c r="GX14" s="680">
        <v>0</v>
      </c>
      <c r="GY14" s="680">
        <f t="shared" si="98"/>
        <v>84504.099181062149</v>
      </c>
      <c r="GZ14" s="681">
        <f t="shared" si="111"/>
        <v>0.47252544420817433</v>
      </c>
      <c r="HA14" s="680">
        <v>52601.919999999998</v>
      </c>
      <c r="HB14" s="680"/>
      <c r="HC14" s="9">
        <v>50607</v>
      </c>
      <c r="HD14" s="602"/>
      <c r="HE14" s="608">
        <f t="shared" si="99"/>
        <v>0</v>
      </c>
      <c r="HF14" s="616">
        <f t="shared" si="100"/>
        <v>1127563</v>
      </c>
      <c r="HG14" s="602">
        <f t="shared" ca="1" si="101"/>
        <v>1127563</v>
      </c>
      <c r="HH14" s="602"/>
      <c r="HI14" s="602"/>
      <c r="HJ14" s="602">
        <f>GB14-HI14</f>
        <v>177688</v>
      </c>
      <c r="HK14" s="609">
        <f t="shared" si="112"/>
        <v>0</v>
      </c>
      <c r="HL14" s="609"/>
      <c r="HM14" s="673"/>
      <c r="HN14" s="62"/>
      <c r="HO14" s="673"/>
      <c r="HP14" s="673">
        <f t="shared" si="102"/>
        <v>0</v>
      </c>
      <c r="HQ14" s="539"/>
      <c r="HR14" s="539"/>
      <c r="HS14" s="539"/>
      <c r="HT14" s="539"/>
      <c r="HU14" s="539"/>
      <c r="HV14" s="673"/>
      <c r="HW14" s="673">
        <f t="shared" si="103"/>
        <v>0</v>
      </c>
      <c r="HX14" s="539"/>
    </row>
    <row r="15" spans="1:232" ht="20.100000000000001" hidden="1" customHeight="1">
      <c r="A15" s="767" t="s">
        <v>249</v>
      </c>
      <c r="B15" s="6" t="s">
        <v>33</v>
      </c>
      <c r="C15" s="6" t="s">
        <v>91</v>
      </c>
      <c r="D15" s="6">
        <v>2013</v>
      </c>
      <c r="E15" s="6" t="s">
        <v>34</v>
      </c>
      <c r="F15" s="490"/>
      <c r="G15" s="490"/>
      <c r="H15" s="6" t="s">
        <v>137</v>
      </c>
      <c r="I15" s="31"/>
      <c r="J15" s="31"/>
      <c r="K15" s="180"/>
      <c r="L15" s="111" t="s">
        <v>44</v>
      </c>
      <c r="M15" s="67"/>
      <c r="N15" s="68"/>
      <c r="O15" s="142">
        <v>20161</v>
      </c>
      <c r="P15" s="142">
        <v>1550000</v>
      </c>
      <c r="Q15" s="142">
        <v>1105335</v>
      </c>
      <c r="R15" s="142">
        <f>P15/(110)</f>
        <v>14090.90909090909</v>
      </c>
      <c r="S15" s="142">
        <f>P15/O15</f>
        <v>76.88110708794207</v>
      </c>
      <c r="T15" s="142">
        <f>Q15/O15</f>
        <v>54.825405485838999</v>
      </c>
      <c r="U15" s="142">
        <f>Q15/(AK15+AK160)</f>
        <v>392.66733926833251</v>
      </c>
      <c r="V15" s="142">
        <f>Q15/(110)</f>
        <v>10048.5</v>
      </c>
      <c r="W15" s="142">
        <f>O15/(AD15+AD162)</f>
        <v>746.7037037037037</v>
      </c>
      <c r="X15" s="143"/>
      <c r="Y15" s="522">
        <f t="shared" si="63"/>
        <v>13.392192847577006</v>
      </c>
      <c r="Z15" s="143" t="s">
        <v>155</v>
      </c>
      <c r="AA15" s="145">
        <v>460</v>
      </c>
      <c r="AB15" s="146"/>
      <c r="AC15" s="6" t="s">
        <v>9</v>
      </c>
      <c r="AD15" s="493">
        <f t="shared" si="64"/>
        <v>27</v>
      </c>
      <c r="AE15" s="493">
        <f t="shared" si="65"/>
        <v>27</v>
      </c>
      <c r="AF15" s="6">
        <v>27</v>
      </c>
      <c r="AG15" s="7"/>
      <c r="AH15" s="42"/>
      <c r="AI15" s="42"/>
      <c r="AJ15" s="796">
        <v>2659.3199999999997</v>
      </c>
      <c r="AK15" s="278">
        <v>2814.94</v>
      </c>
      <c r="AL15" s="586">
        <f t="shared" si="66"/>
        <v>98.493333333333325</v>
      </c>
      <c r="AM15" s="8">
        <f t="shared" si="67"/>
        <v>104.25703703703704</v>
      </c>
      <c r="AN15" s="35">
        <v>6.39</v>
      </c>
      <c r="AO15" s="35">
        <v>6.03</v>
      </c>
      <c r="AP15" s="35">
        <v>629.1</v>
      </c>
      <c r="AQ15" s="53">
        <v>0</v>
      </c>
      <c r="AR15" s="53">
        <v>0</v>
      </c>
      <c r="AS15" s="53">
        <v>0</v>
      </c>
      <c r="AT15" s="53">
        <f>19/AF15</f>
        <v>0.70370370370370372</v>
      </c>
      <c r="AU15" s="53">
        <f>8/AF15</f>
        <v>0.29629629629629628</v>
      </c>
      <c r="AV15" s="8">
        <v>12480</v>
      </c>
      <c r="AW15" s="51"/>
      <c r="AX15" s="53">
        <f>AW15/O15</f>
        <v>0</v>
      </c>
      <c r="AY15" s="35">
        <v>3.5</v>
      </c>
      <c r="AZ15" s="34" t="s">
        <v>398</v>
      </c>
      <c r="BA15" s="6" t="s">
        <v>98</v>
      </c>
      <c r="BB15" s="31"/>
      <c r="BC15" s="31"/>
      <c r="BD15" s="31"/>
      <c r="BE15" s="31"/>
      <c r="BF15" s="73">
        <v>41170</v>
      </c>
      <c r="BG15" s="73"/>
      <c r="BH15" s="73">
        <v>41348</v>
      </c>
      <c r="BI15" s="73"/>
      <c r="BJ15" s="660">
        <v>41363</v>
      </c>
      <c r="BK15" s="660">
        <v>41493</v>
      </c>
      <c r="BL15" s="661"/>
      <c r="BM15" s="659">
        <f t="shared" si="68"/>
        <v>4.333333333333333</v>
      </c>
      <c r="BN15" s="578"/>
      <c r="BO15" s="109">
        <v>42163</v>
      </c>
      <c r="BP15" s="138">
        <v>42171</v>
      </c>
      <c r="BQ15" s="654">
        <f>(DATEDIF(BO15,BP15,"d"))/30</f>
        <v>0.26666666666666666</v>
      </c>
      <c r="BR15" s="139"/>
      <c r="BS15" s="110">
        <v>42263</v>
      </c>
      <c r="BT15" s="110">
        <v>42192</v>
      </c>
      <c r="BU15" s="202">
        <v>42278</v>
      </c>
      <c r="BV15" s="201">
        <f t="shared" si="69"/>
        <v>43009</v>
      </c>
      <c r="BW15" s="439"/>
      <c r="BX15" s="201" t="str">
        <f t="shared" si="104"/>
        <v>oui</v>
      </c>
      <c r="BY15" s="557">
        <f t="shared" si="105"/>
        <v>-1.9666666666666666</v>
      </c>
      <c r="BZ15" s="439" t="str">
        <f t="shared" si="106"/>
        <v>0</v>
      </c>
      <c r="CA15" s="439">
        <f t="shared" si="107"/>
        <v>0</v>
      </c>
      <c r="CB15" s="81"/>
      <c r="CC15" s="74"/>
      <c r="CD15" s="74"/>
      <c r="CE15" s="326" t="str">
        <f t="shared" si="70"/>
        <v>0</v>
      </c>
      <c r="CF15" s="81"/>
      <c r="CG15" s="81"/>
      <c r="CH15" s="326" t="str">
        <f t="shared" si="71"/>
        <v>0</v>
      </c>
      <c r="CI15" s="83"/>
      <c r="CJ15" s="81"/>
      <c r="CK15" s="326" t="str">
        <f t="shared" si="72"/>
        <v>0</v>
      </c>
      <c r="CL15" s="83"/>
      <c r="CM15" s="81"/>
      <c r="CN15" s="326" t="str">
        <f t="shared" si="73"/>
        <v>0</v>
      </c>
      <c r="CO15" s="83"/>
      <c r="CP15" s="365"/>
      <c r="CQ15" s="326" t="str">
        <f t="shared" si="74"/>
        <v>0</v>
      </c>
      <c r="CR15" s="292"/>
      <c r="CS15" s="159"/>
      <c r="CT15" s="81"/>
      <c r="CU15" s="159"/>
      <c r="CV15" s="326" t="str">
        <f>IF(AND(CT15&gt;0,CU15&gt;0),CU15-CT15,"0")</f>
        <v>0</v>
      </c>
      <c r="CW15" s="81"/>
      <c r="CX15" s="236">
        <v>42139</v>
      </c>
      <c r="CY15" s="232">
        <v>2015</v>
      </c>
      <c r="CZ15" s="286">
        <f t="shared" si="75"/>
        <v>21.533333333333335</v>
      </c>
      <c r="DA15" s="326" t="str">
        <f t="shared" si="76"/>
        <v>0</v>
      </c>
      <c r="DB15" s="168">
        <v>24</v>
      </c>
      <c r="DC15" s="76">
        <f t="shared" si="77"/>
        <v>30</v>
      </c>
      <c r="DD15" s="81"/>
      <c r="DE15" s="159"/>
      <c r="DF15" s="326" t="str">
        <f t="shared" si="78"/>
        <v>0</v>
      </c>
      <c r="DG15" s="750"/>
      <c r="DH15" s="363"/>
      <c r="DI15" s="329" t="str">
        <f t="shared" si="79"/>
        <v>0</v>
      </c>
      <c r="DJ15" s="83"/>
      <c r="DK15" s="214"/>
      <c r="DL15" s="326" t="str">
        <f t="shared" si="80"/>
        <v>0</v>
      </c>
      <c r="DM15" s="159"/>
      <c r="DN15" s="81"/>
      <c r="DO15" s="326" t="str">
        <f t="shared" si="81"/>
        <v>0</v>
      </c>
      <c r="DP15" s="74"/>
      <c r="DQ15" s="74"/>
      <c r="DR15" s="326" t="str">
        <f t="shared" si="82"/>
        <v>0</v>
      </c>
      <c r="DS15" s="74"/>
      <c r="DT15" s="74"/>
      <c r="DU15" s="326" t="str">
        <f t="shared" si="83"/>
        <v>0</v>
      </c>
      <c r="DV15" s="73"/>
      <c r="DW15" s="74"/>
      <c r="DX15" s="326" t="str">
        <f t="shared" si="84"/>
        <v>0</v>
      </c>
      <c r="DY15" s="74"/>
      <c r="DZ15" s="74"/>
      <c r="EA15" s="74"/>
      <c r="EB15" s="293">
        <f t="shared" si="85"/>
        <v>42870</v>
      </c>
      <c r="EC15" s="238">
        <v>43059</v>
      </c>
      <c r="ED15" s="468">
        <f t="shared" si="86"/>
        <v>6.3</v>
      </c>
      <c r="EE15" s="620"/>
      <c r="EF15" s="403"/>
      <c r="EG15" s="214">
        <v>43075</v>
      </c>
      <c r="EH15" s="75">
        <v>42712</v>
      </c>
      <c r="EI15" s="127">
        <v>43066</v>
      </c>
      <c r="EJ15" s="478"/>
      <c r="EK15" s="533">
        <f>DATE(YEAR(EB15),MONTH(EB15)+1,DAY(EB15))</f>
        <v>42901</v>
      </c>
      <c r="EL15" s="384">
        <v>43068</v>
      </c>
      <c r="EM15" s="232">
        <v>2017</v>
      </c>
      <c r="EN15" s="464">
        <f t="shared" si="108"/>
        <v>5.5666666666666664</v>
      </c>
      <c r="EO15" s="455">
        <f>209989.369681134/12</f>
        <v>17499.114140094502</v>
      </c>
      <c r="EP15" s="213">
        <f t="shared" si="87"/>
        <v>97411.735379859383</v>
      </c>
      <c r="EQ15" s="214">
        <v>42978</v>
      </c>
      <c r="ER15" s="349">
        <v>0</v>
      </c>
      <c r="ES15" s="349">
        <v>0</v>
      </c>
      <c r="ET15" s="353"/>
      <c r="EU15" s="353"/>
      <c r="EV15" s="353">
        <f>698989*1.021</f>
        <v>713667.76899999997</v>
      </c>
      <c r="EW15" s="483">
        <f>EV15/(FZ15+FZ16)</f>
        <v>0.10219803504442251</v>
      </c>
      <c r="EX15" s="350"/>
      <c r="EY15" s="362"/>
      <c r="EZ15" s="350"/>
      <c r="FA15" s="350"/>
      <c r="FB15" s="126">
        <f t="shared" si="88"/>
        <v>731</v>
      </c>
      <c r="FC15" s="80"/>
      <c r="FD15" s="80">
        <v>43164</v>
      </c>
      <c r="FE15" s="80"/>
      <c r="FF15" s="80"/>
      <c r="FG15" s="81">
        <v>44195</v>
      </c>
      <c r="FH15" s="664"/>
      <c r="FI15" s="214">
        <f t="shared" si="89"/>
        <v>43424</v>
      </c>
      <c r="FJ15" s="443">
        <v>52707</v>
      </c>
      <c r="FK15" s="80"/>
      <c r="FL15" s="80"/>
      <c r="FM15" s="80"/>
      <c r="FN15" s="80"/>
      <c r="FO15" s="80"/>
      <c r="FP15" s="80"/>
      <c r="FQ15" s="31"/>
      <c r="FR15" s="31" t="s">
        <v>573</v>
      </c>
      <c r="FS15" s="126"/>
      <c r="FT15" s="425">
        <v>43160</v>
      </c>
      <c r="FU15" s="31"/>
      <c r="FV15" s="31"/>
      <c r="FW15" s="31"/>
      <c r="FX15" s="388">
        <v>5545807</v>
      </c>
      <c r="FY15" s="652">
        <f t="shared" si="90"/>
        <v>5488129.9500000002</v>
      </c>
      <c r="FZ15" s="550">
        <f t="shared" si="91"/>
        <v>5488129.9500000002</v>
      </c>
      <c r="GA15" s="500">
        <f t="shared" si="109"/>
        <v>5488129.9500000002</v>
      </c>
      <c r="GB15" s="610">
        <f>GM15+GN15+GR15</f>
        <v>1</v>
      </c>
      <c r="GC15" s="28">
        <f t="shared" si="92"/>
        <v>1949.6436691368201</v>
      </c>
      <c r="GD15" s="28">
        <f t="shared" si="93"/>
        <v>203264.07222222222</v>
      </c>
      <c r="GE15" s="9">
        <v>1916369</v>
      </c>
      <c r="GF15" s="417"/>
      <c r="GG15" s="16">
        <f t="shared" si="110"/>
        <v>70976.629629629635</v>
      </c>
      <c r="GH15" s="9">
        <f>+GI15+GJ15</f>
        <v>3571759.95</v>
      </c>
      <c r="GI15" s="10">
        <v>595108</v>
      </c>
      <c r="GJ15" s="10">
        <v>2976651.95</v>
      </c>
      <c r="GK15" s="407">
        <f t="shared" si="94"/>
        <v>132287.40555555557</v>
      </c>
      <c r="GL15" s="9"/>
      <c r="GM15" s="9">
        <v>1</v>
      </c>
      <c r="GN15" s="45"/>
      <c r="GO15" s="23">
        <f t="shared" si="95"/>
        <v>1.8221142886749611E-7</v>
      </c>
      <c r="GP15" s="45"/>
      <c r="GQ15" s="45"/>
      <c r="GR15" s="9">
        <v>0</v>
      </c>
      <c r="GS15" s="28">
        <f t="shared" si="96"/>
        <v>3.7037037037037035E-2</v>
      </c>
      <c r="GT15" s="28">
        <f t="shared" si="97"/>
        <v>70976.666666666672</v>
      </c>
      <c r="GU15" s="680">
        <v>1015690.2065916295</v>
      </c>
      <c r="GV15" s="680">
        <v>540000</v>
      </c>
      <c r="GW15" s="680">
        <f>(GE15+GM15+GV15)/AD15</f>
        <v>90976.666666666672</v>
      </c>
      <c r="GX15" s="680">
        <v>0</v>
      </c>
      <c r="GY15" s="680">
        <f t="shared" si="98"/>
        <v>90976.666666666672</v>
      </c>
      <c r="GZ15" s="681">
        <f t="shared" si="111"/>
        <v>0.39970846321114534</v>
      </c>
      <c r="HA15" s="680">
        <v>358416.12820000004</v>
      </c>
      <c r="HB15" s="680"/>
      <c r="HC15" s="9">
        <v>0</v>
      </c>
      <c r="HD15" s="602"/>
      <c r="HE15" s="608">
        <f t="shared" si="99"/>
        <v>0</v>
      </c>
      <c r="HF15" s="616">
        <f t="shared" si="100"/>
        <v>5488129.9500000002</v>
      </c>
      <c r="HG15" s="602">
        <f t="shared" ca="1" si="101"/>
        <v>5488129.9500000002</v>
      </c>
      <c r="HH15" s="602"/>
      <c r="HI15" s="602"/>
      <c r="HJ15" s="602">
        <f>GB15-HI15</f>
        <v>1</v>
      </c>
      <c r="HK15" s="609">
        <f t="shared" si="112"/>
        <v>0</v>
      </c>
      <c r="HL15" s="609"/>
      <c r="HM15" s="673"/>
      <c r="HN15" s="62"/>
      <c r="HO15" s="673"/>
      <c r="HP15" s="673">
        <f t="shared" si="102"/>
        <v>0</v>
      </c>
      <c r="HQ15" s="539"/>
      <c r="HR15" s="539"/>
      <c r="HS15" s="539"/>
      <c r="HT15" s="539"/>
      <c r="HU15" s="539"/>
      <c r="HV15" s="673"/>
      <c r="HW15" s="673">
        <f t="shared" si="103"/>
        <v>0</v>
      </c>
      <c r="HX15" s="539"/>
    </row>
    <row r="16" spans="1:232" ht="20.100000000000001" hidden="1" customHeight="1">
      <c r="A16" s="747" t="s">
        <v>617</v>
      </c>
      <c r="B16" s="6" t="s">
        <v>129</v>
      </c>
      <c r="C16" s="6" t="s">
        <v>92</v>
      </c>
      <c r="D16" s="6">
        <v>2015</v>
      </c>
      <c r="E16" s="6" t="s">
        <v>188</v>
      </c>
      <c r="F16" s="6" t="s">
        <v>864</v>
      </c>
      <c r="G16" s="6" t="s">
        <v>337</v>
      </c>
      <c r="H16" s="6" t="s">
        <v>666</v>
      </c>
      <c r="I16" s="31"/>
      <c r="J16" s="31"/>
      <c r="K16" s="180" t="s">
        <v>400</v>
      </c>
      <c r="L16" s="111" t="s">
        <v>43</v>
      </c>
      <c r="M16" s="67" t="s">
        <v>48</v>
      </c>
      <c r="N16" s="68"/>
      <c r="O16" s="142">
        <f>13077/58*AD16</f>
        <v>2705.5862068965516</v>
      </c>
      <c r="P16" s="142">
        <f>590200/58*AD16</f>
        <v>122110.34482758622</v>
      </c>
      <c r="Q16" s="142">
        <f>590200/58*AD16</f>
        <v>122110.34482758622</v>
      </c>
      <c r="R16" s="142">
        <f>P16/AD16</f>
        <v>10175.862068965518</v>
      </c>
      <c r="S16" s="142">
        <f>P16/O16</f>
        <v>45.132675690143003</v>
      </c>
      <c r="T16" s="148">
        <f>Q16/O16</f>
        <v>45.132675690143003</v>
      </c>
      <c r="U16" s="148">
        <f>Q16/AK16</f>
        <v>180.30054163480233</v>
      </c>
      <c r="V16" s="148">
        <f>Q16/AD16</f>
        <v>10175.862068965518</v>
      </c>
      <c r="W16" s="142">
        <f>O16/AD16</f>
        <v>225.4655172413793</v>
      </c>
      <c r="X16" s="143"/>
      <c r="Y16" s="522">
        <f t="shared" si="63"/>
        <v>44.352680278351308</v>
      </c>
      <c r="Z16" s="143" t="s">
        <v>615</v>
      </c>
      <c r="AA16" s="145">
        <v>280</v>
      </c>
      <c r="AB16" s="146">
        <v>0.25</v>
      </c>
      <c r="AC16" s="15" t="s">
        <v>10</v>
      </c>
      <c r="AD16" s="493">
        <f t="shared" si="64"/>
        <v>12</v>
      </c>
      <c r="AE16" s="493">
        <f t="shared" si="65"/>
        <v>12</v>
      </c>
      <c r="AF16" s="7"/>
      <c r="AG16" s="6">
        <v>12</v>
      </c>
      <c r="AH16" s="42"/>
      <c r="AI16" s="42"/>
      <c r="AJ16" s="796">
        <v>677.26</v>
      </c>
      <c r="AK16" s="278">
        <v>677.26</v>
      </c>
      <c r="AL16" s="586">
        <f t="shared" si="66"/>
        <v>56.438333333333333</v>
      </c>
      <c r="AM16" s="8">
        <f t="shared" si="67"/>
        <v>56.438333333333333</v>
      </c>
      <c r="AN16" s="35">
        <v>5.87</v>
      </c>
      <c r="AO16" s="35">
        <v>5.87</v>
      </c>
      <c r="AP16" s="35">
        <v>331.1</v>
      </c>
      <c r="AQ16" s="53"/>
      <c r="AR16" s="53">
        <f>12/AD16</f>
        <v>1</v>
      </c>
      <c r="AS16" s="53"/>
      <c r="AT16" s="53"/>
      <c r="AU16" s="53"/>
      <c r="AV16" s="8"/>
      <c r="AW16" s="51"/>
      <c r="AX16" s="53"/>
      <c r="AY16" s="35">
        <v>2</v>
      </c>
      <c r="AZ16" s="34" t="s">
        <v>398</v>
      </c>
      <c r="BA16" s="6" t="s">
        <v>98</v>
      </c>
      <c r="BB16" s="31"/>
      <c r="BC16" s="31"/>
      <c r="BD16" s="31"/>
      <c r="BE16" s="31"/>
      <c r="BF16" s="73">
        <v>41921</v>
      </c>
      <c r="BG16" s="73"/>
      <c r="BH16" s="31"/>
      <c r="BI16" s="31"/>
      <c r="BJ16" s="660">
        <v>42093</v>
      </c>
      <c r="BK16" s="660">
        <v>42306</v>
      </c>
      <c r="BL16" s="661">
        <v>42335</v>
      </c>
      <c r="BM16" s="659">
        <f t="shared" si="68"/>
        <v>7.1</v>
      </c>
      <c r="BN16" s="578"/>
      <c r="BO16" s="109">
        <v>42614</v>
      </c>
      <c r="BP16" s="138">
        <v>42622</v>
      </c>
      <c r="BQ16" s="654">
        <f>(DATEDIF(BO16,BP16,"d"))/30</f>
        <v>0.26666666666666666</v>
      </c>
      <c r="BR16" s="638">
        <v>54134</v>
      </c>
      <c r="BS16" s="110">
        <v>42713</v>
      </c>
      <c r="BT16" s="110"/>
      <c r="BU16" s="202">
        <v>42736</v>
      </c>
      <c r="BV16" s="201">
        <f t="shared" si="69"/>
        <v>43466</v>
      </c>
      <c r="BW16" s="439">
        <f>16897+4009</f>
        <v>20906</v>
      </c>
      <c r="BX16" s="201" t="str">
        <f t="shared" si="104"/>
        <v>oui</v>
      </c>
      <c r="BY16" s="557">
        <f t="shared" si="105"/>
        <v>-1.6333333333333333</v>
      </c>
      <c r="BZ16" s="439" t="str">
        <f t="shared" si="106"/>
        <v>0</v>
      </c>
      <c r="CA16" s="439">
        <f t="shared" si="107"/>
        <v>20906</v>
      </c>
      <c r="CB16" s="81"/>
      <c r="CC16" s="81"/>
      <c r="CD16" s="81"/>
      <c r="CE16" s="326" t="str">
        <f t="shared" si="70"/>
        <v>0</v>
      </c>
      <c r="CF16" s="81"/>
      <c r="CG16" s="81"/>
      <c r="CH16" s="326" t="str">
        <f t="shared" si="71"/>
        <v>0</v>
      </c>
      <c r="CI16" s="81"/>
      <c r="CJ16" s="81"/>
      <c r="CK16" s="326" t="str">
        <f t="shared" si="72"/>
        <v>0</v>
      </c>
      <c r="CL16" s="83"/>
      <c r="CM16" s="81"/>
      <c r="CN16" s="326" t="str">
        <f t="shared" si="73"/>
        <v>0</v>
      </c>
      <c r="CO16" s="81"/>
      <c r="CP16" s="81"/>
      <c r="CQ16" s="326" t="str">
        <f t="shared" si="74"/>
        <v>0</v>
      </c>
      <c r="CR16" s="290"/>
      <c r="CS16" s="81"/>
      <c r="CT16" s="81"/>
      <c r="CU16" s="81"/>
      <c r="CV16" s="326"/>
      <c r="CW16" s="81"/>
      <c r="CX16" s="282">
        <v>42782</v>
      </c>
      <c r="CY16" s="232">
        <v>2017</v>
      </c>
      <c r="CZ16" s="286">
        <f t="shared" si="75"/>
        <v>15.866666666666667</v>
      </c>
      <c r="DA16" s="326" t="str">
        <f t="shared" si="76"/>
        <v>0</v>
      </c>
      <c r="DB16" s="221">
        <v>18</v>
      </c>
      <c r="DC16" s="76">
        <f t="shared" si="77"/>
        <v>23</v>
      </c>
      <c r="DD16" s="81"/>
      <c r="DE16" s="81"/>
      <c r="DF16" s="326" t="str">
        <f t="shared" si="78"/>
        <v>0</v>
      </c>
      <c r="DG16" s="459"/>
      <c r="DH16" s="395"/>
      <c r="DI16" s="396" t="str">
        <f t="shared" si="79"/>
        <v>0</v>
      </c>
      <c r="DJ16" s="81"/>
      <c r="DK16" s="81"/>
      <c r="DL16" s="326" t="str">
        <f t="shared" si="80"/>
        <v>0</v>
      </c>
      <c r="DM16" s="214"/>
      <c r="DN16" s="214"/>
      <c r="DO16" s="448" t="str">
        <f t="shared" si="81"/>
        <v>0</v>
      </c>
      <c r="DP16" s="81"/>
      <c r="DQ16" s="81">
        <v>43290</v>
      </c>
      <c r="DR16" s="326" t="str">
        <f t="shared" si="82"/>
        <v>0</v>
      </c>
      <c r="DS16" s="214"/>
      <c r="DT16" s="214"/>
      <c r="DU16" s="448" t="str">
        <f t="shared" si="83"/>
        <v>0</v>
      </c>
      <c r="DV16" s="335"/>
      <c r="DW16" s="335"/>
      <c r="DX16" s="332" t="str">
        <f t="shared" si="84"/>
        <v>0</v>
      </c>
      <c r="DY16" s="336"/>
      <c r="DZ16" s="336"/>
      <c r="EA16" s="336"/>
      <c r="EB16" s="383">
        <f t="shared" si="85"/>
        <v>43328</v>
      </c>
      <c r="EC16" s="238">
        <v>43503</v>
      </c>
      <c r="ED16" s="501">
        <f t="shared" si="86"/>
        <v>5.833333333333333</v>
      </c>
      <c r="EE16" s="620">
        <f ca="1">IF(((EC16-TODAY())/30)&lt;0,0,(EC16-TODAY())/30)</f>
        <v>0</v>
      </c>
      <c r="EF16" s="618"/>
      <c r="EG16" s="167">
        <v>43522</v>
      </c>
      <c r="EH16" s="167">
        <v>42887</v>
      </c>
      <c r="EI16" s="837"/>
      <c r="EJ16" s="618"/>
      <c r="EK16" s="533">
        <f>DATE(YEAR(EB16),MONTH(EB16),DAY(EB16)+15)</f>
        <v>43343</v>
      </c>
      <c r="EL16" s="238">
        <v>43515</v>
      </c>
      <c r="EM16" s="380">
        <v>2019</v>
      </c>
      <c r="EN16" s="497">
        <f t="shared" si="108"/>
        <v>5.7333333333333334</v>
      </c>
      <c r="EO16" s="456">
        <f>49226/12</f>
        <v>4102.166666666667</v>
      </c>
      <c r="EP16" s="508">
        <f t="shared" si="87"/>
        <v>23519.088888888891</v>
      </c>
      <c r="EQ16" s="214"/>
      <c r="ER16" s="353">
        <v>0</v>
      </c>
      <c r="ES16" s="353">
        <v>0</v>
      </c>
      <c r="ET16" s="159" t="s">
        <v>392</v>
      </c>
      <c r="EU16" s="159"/>
      <c r="EV16" s="159"/>
      <c r="EW16" s="483">
        <f>EV16/FZ16</f>
        <v>0</v>
      </c>
      <c r="EX16" s="74"/>
      <c r="EY16" s="763"/>
      <c r="EZ16" s="839"/>
      <c r="FA16" s="763"/>
      <c r="FB16" s="126">
        <f t="shared" si="88"/>
        <v>731</v>
      </c>
      <c r="FC16" s="81"/>
      <c r="FD16" s="81"/>
      <c r="FE16" s="81"/>
      <c r="FF16" s="81"/>
      <c r="FG16" s="81"/>
      <c r="FH16" s="664"/>
      <c r="FI16" s="214">
        <f t="shared" si="89"/>
        <v>43868</v>
      </c>
      <c r="FJ16" s="279"/>
      <c r="FK16" s="74"/>
      <c r="FL16" s="74"/>
      <c r="FM16" s="74"/>
      <c r="FN16" s="74"/>
      <c r="FO16" s="74"/>
      <c r="FP16" s="74"/>
      <c r="FQ16" s="74"/>
      <c r="FR16" s="74"/>
      <c r="FS16" s="126"/>
      <c r="FT16" s="215">
        <v>43791</v>
      </c>
      <c r="FU16" s="31"/>
      <c r="FV16" s="31"/>
      <c r="FW16" s="31"/>
      <c r="FX16" s="529"/>
      <c r="FY16" s="652">
        <f t="shared" si="90"/>
        <v>1495054.8900000001</v>
      </c>
      <c r="FZ16" s="550">
        <f t="shared" si="91"/>
        <v>1495054.8900000001</v>
      </c>
      <c r="GA16" s="500">
        <f t="shared" si="109"/>
        <v>1495054.8900000001</v>
      </c>
      <c r="GB16" s="610">
        <f>GM16+GN16+GR16+GQ16+GV16+GX16</f>
        <v>280007</v>
      </c>
      <c r="GC16" s="28">
        <f t="shared" si="92"/>
        <v>2207.5050792900806</v>
      </c>
      <c r="GD16" s="28">
        <f t="shared" si="93"/>
        <v>124587.90750000002</v>
      </c>
      <c r="GE16" s="9">
        <v>443491.89</v>
      </c>
      <c r="GF16" s="417"/>
      <c r="GG16" s="16">
        <f t="shared" si="110"/>
        <v>36957.657500000001</v>
      </c>
      <c r="GH16" s="9">
        <f>GI16+GJ16</f>
        <v>771556</v>
      </c>
      <c r="GI16" s="10">
        <v>172922</v>
      </c>
      <c r="GJ16" s="10">
        <v>598634</v>
      </c>
      <c r="GK16" s="407">
        <f t="shared" si="94"/>
        <v>64296.333333333336</v>
      </c>
      <c r="GL16" s="9"/>
      <c r="GM16" s="9">
        <v>266000</v>
      </c>
      <c r="GN16" s="45"/>
      <c r="GO16" s="23">
        <f t="shared" si="95"/>
        <v>0.17791988894802382</v>
      </c>
      <c r="GP16" s="60"/>
      <c r="GQ16" s="60"/>
      <c r="GR16" s="9">
        <v>14007</v>
      </c>
      <c r="GS16" s="28">
        <f t="shared" si="96"/>
        <v>22166.666666666668</v>
      </c>
      <c r="GT16" s="56">
        <f t="shared" si="97"/>
        <v>59124.324166666665</v>
      </c>
      <c r="GU16" s="680">
        <v>0</v>
      </c>
      <c r="GV16" s="680">
        <v>0</v>
      </c>
      <c r="GW16" s="680">
        <f>(GE16+GM16+GV16)/AD16</f>
        <v>59124.324166666665</v>
      </c>
      <c r="GX16" s="680">
        <v>0</v>
      </c>
      <c r="GY16" s="680">
        <f t="shared" si="98"/>
        <v>59124.324166666665</v>
      </c>
      <c r="GZ16" s="681">
        <f t="shared" si="111"/>
        <v>0.474559091271893</v>
      </c>
      <c r="HA16" s="680">
        <v>0</v>
      </c>
      <c r="HB16" s="680"/>
      <c r="HC16" s="9">
        <f>ES16</f>
        <v>0</v>
      </c>
      <c r="HD16" s="610">
        <v>1177926.57</v>
      </c>
      <c r="HE16" s="608">
        <f t="shared" si="99"/>
        <v>0.78788182151626551</v>
      </c>
      <c r="HF16" s="616">
        <f t="shared" si="100"/>
        <v>317128.32000000007</v>
      </c>
      <c r="HG16" s="602">
        <f t="shared" ca="1" si="101"/>
        <v>317128.32000000007</v>
      </c>
      <c r="HH16" s="608">
        <f ca="1">(HG16+HD16)/FZ16</f>
        <v>1</v>
      </c>
      <c r="HI16" s="442"/>
      <c r="HJ16" s="442"/>
      <c r="HK16" s="418">
        <f t="shared" si="112"/>
        <v>0</v>
      </c>
      <c r="HL16" s="418"/>
      <c r="HM16" s="673"/>
      <c r="HN16" s="62"/>
      <c r="HO16" s="673"/>
      <c r="HP16" s="673">
        <f t="shared" si="102"/>
        <v>0</v>
      </c>
      <c r="HQ16" s="539"/>
      <c r="HR16" s="539"/>
      <c r="HS16" s="539"/>
      <c r="HT16" s="539"/>
      <c r="HU16" s="539"/>
      <c r="HV16" s="673"/>
      <c r="HW16" s="673">
        <f t="shared" si="103"/>
        <v>0</v>
      </c>
      <c r="HX16" s="539"/>
    </row>
    <row r="17" spans="1:232" ht="20.100000000000001" hidden="1" customHeight="1">
      <c r="A17" s="767" t="s">
        <v>248</v>
      </c>
      <c r="B17" s="6" t="s">
        <v>33</v>
      </c>
      <c r="C17" s="6" t="s">
        <v>91</v>
      </c>
      <c r="D17" s="6">
        <v>2013</v>
      </c>
      <c r="E17" s="6" t="s">
        <v>34</v>
      </c>
      <c r="F17" s="6" t="s">
        <v>117</v>
      </c>
      <c r="G17" s="6" t="s">
        <v>141</v>
      </c>
      <c r="H17" s="6" t="s">
        <v>666</v>
      </c>
      <c r="I17" s="31"/>
      <c r="J17" s="31"/>
      <c r="K17" s="180"/>
      <c r="L17" s="111" t="s">
        <v>44</v>
      </c>
      <c r="M17" s="67"/>
      <c r="N17" s="68"/>
      <c r="O17" s="43"/>
      <c r="P17" s="43"/>
      <c r="Q17" s="43"/>
      <c r="R17" s="43"/>
      <c r="S17" s="43"/>
      <c r="T17" s="43"/>
      <c r="U17" s="43"/>
      <c r="V17" s="43"/>
      <c r="W17" s="43"/>
      <c r="X17" s="42"/>
      <c r="Y17" s="42" t="e">
        <f t="shared" si="63"/>
        <v>#DIV/0!</v>
      </c>
      <c r="Z17" s="42"/>
      <c r="AA17" s="7"/>
      <c r="AB17" s="778"/>
      <c r="AC17" s="6" t="s">
        <v>10</v>
      </c>
      <c r="AD17" s="493">
        <f t="shared" si="64"/>
        <v>83</v>
      </c>
      <c r="AE17" s="493">
        <f t="shared" si="65"/>
        <v>83</v>
      </c>
      <c r="AF17" s="7"/>
      <c r="AG17" s="6">
        <v>83</v>
      </c>
      <c r="AH17" s="42"/>
      <c r="AI17" s="42"/>
      <c r="AJ17" s="797">
        <v>6330.16</v>
      </c>
      <c r="AK17" s="278">
        <v>7367.66</v>
      </c>
      <c r="AL17" s="586">
        <f t="shared" si="66"/>
        <v>76.266987951807224</v>
      </c>
      <c r="AM17" s="8">
        <f t="shared" si="67"/>
        <v>88.766987951807224</v>
      </c>
      <c r="AN17" s="35">
        <v>5.84</v>
      </c>
      <c r="AO17" s="35">
        <v>5.0199999999999996</v>
      </c>
      <c r="AP17" s="35">
        <v>445.64</v>
      </c>
      <c r="AQ17" s="53">
        <v>0</v>
      </c>
      <c r="AR17" s="53">
        <f>10/AG17</f>
        <v>0.12048192771084337</v>
      </c>
      <c r="AS17" s="53">
        <f>42/AG17</f>
        <v>0.50602409638554213</v>
      </c>
      <c r="AT17" s="53">
        <f>28/AG17</f>
        <v>0.33734939759036142</v>
      </c>
      <c r="AU17" s="53">
        <f>3/AG17</f>
        <v>3.614457831325301E-2</v>
      </c>
      <c r="AV17" s="8"/>
      <c r="AW17" s="51"/>
      <c r="AX17" s="53" t="e">
        <f>AW17/O17</f>
        <v>#DIV/0!</v>
      </c>
      <c r="AY17" s="35">
        <v>3.5</v>
      </c>
      <c r="AZ17" s="34" t="s">
        <v>398</v>
      </c>
      <c r="BA17" s="6" t="s">
        <v>98</v>
      </c>
      <c r="BB17" s="31"/>
      <c r="BC17" s="31"/>
      <c r="BD17" s="31"/>
      <c r="BE17" s="31"/>
      <c r="BF17" s="73">
        <v>41170</v>
      </c>
      <c r="BG17" s="73"/>
      <c r="BH17" s="73">
        <v>41348</v>
      </c>
      <c r="BI17" s="73"/>
      <c r="BJ17" s="660">
        <v>41363</v>
      </c>
      <c r="BK17" s="660">
        <v>41463</v>
      </c>
      <c r="BL17" s="661"/>
      <c r="BM17" s="659">
        <f t="shared" si="68"/>
        <v>3.3333333333333335</v>
      </c>
      <c r="BN17" s="578"/>
      <c r="BO17" s="109">
        <v>42163</v>
      </c>
      <c r="BP17" s="138">
        <v>42171</v>
      </c>
      <c r="BQ17" s="654">
        <f>(DATEDIF(BO17,BP17,"d"))/30</f>
        <v>0.26666666666666666</v>
      </c>
      <c r="BR17" s="139"/>
      <c r="BS17" s="110">
        <v>42263</v>
      </c>
      <c r="BT17" s="110">
        <v>42192</v>
      </c>
      <c r="BU17" s="202">
        <v>42278</v>
      </c>
      <c r="BV17" s="201">
        <f t="shared" si="69"/>
        <v>43009</v>
      </c>
      <c r="BW17" s="439"/>
      <c r="BX17" s="201" t="str">
        <f t="shared" si="104"/>
        <v>oui</v>
      </c>
      <c r="BY17" s="557">
        <f t="shared" si="105"/>
        <v>-1.9666666666666666</v>
      </c>
      <c r="BZ17" s="439" t="str">
        <f t="shared" si="106"/>
        <v>0</v>
      </c>
      <c r="CA17" s="439">
        <f t="shared" si="107"/>
        <v>0</v>
      </c>
      <c r="CB17" s="81"/>
      <c r="CC17" s="74"/>
      <c r="CD17" s="74"/>
      <c r="CE17" s="326" t="str">
        <f t="shared" si="70"/>
        <v>0</v>
      </c>
      <c r="CF17" s="81"/>
      <c r="CG17" s="81"/>
      <c r="CH17" s="326" t="str">
        <f t="shared" si="71"/>
        <v>0</v>
      </c>
      <c r="CI17" s="83"/>
      <c r="CJ17" s="81"/>
      <c r="CK17" s="326" t="str">
        <f t="shared" si="72"/>
        <v>0</v>
      </c>
      <c r="CL17" s="83"/>
      <c r="CM17" s="81"/>
      <c r="CN17" s="326" t="str">
        <f t="shared" si="73"/>
        <v>0</v>
      </c>
      <c r="CO17" s="83"/>
      <c r="CP17" s="365"/>
      <c r="CQ17" s="326" t="str">
        <f t="shared" si="74"/>
        <v>0</v>
      </c>
      <c r="CR17" s="292"/>
      <c r="CS17" s="159"/>
      <c r="CT17" s="81"/>
      <c r="CU17" s="159"/>
      <c r="CV17" s="326" t="str">
        <f t="shared" ref="CV17:CV23" si="113">IF(AND(CT17&gt;0,CU17&gt;0),CU17-CT17,"0")</f>
        <v>0</v>
      </c>
      <c r="CW17" s="81"/>
      <c r="CX17" s="236">
        <v>42139</v>
      </c>
      <c r="CY17" s="232">
        <v>2015</v>
      </c>
      <c r="CZ17" s="286">
        <f t="shared" si="75"/>
        <v>22.533333333333335</v>
      </c>
      <c r="DA17" s="326" t="str">
        <f t="shared" si="76"/>
        <v>0</v>
      </c>
      <c r="DB17" s="171">
        <v>24</v>
      </c>
      <c r="DC17" s="76">
        <f t="shared" si="77"/>
        <v>30</v>
      </c>
      <c r="DD17" s="81"/>
      <c r="DE17" s="159"/>
      <c r="DF17" s="326" t="str">
        <f t="shared" si="78"/>
        <v>0</v>
      </c>
      <c r="DG17" s="750"/>
      <c r="DH17" s="363"/>
      <c r="DI17" s="329" t="str">
        <f t="shared" si="79"/>
        <v>0</v>
      </c>
      <c r="DJ17" s="83"/>
      <c r="DK17" s="214"/>
      <c r="DL17" s="326" t="str">
        <f t="shared" si="80"/>
        <v>0</v>
      </c>
      <c r="DM17" s="159"/>
      <c r="DN17" s="81"/>
      <c r="DO17" s="326" t="str">
        <f t="shared" si="81"/>
        <v>0</v>
      </c>
      <c r="DP17" s="74"/>
      <c r="DQ17" s="74"/>
      <c r="DR17" s="326" t="str">
        <f t="shared" si="82"/>
        <v>0</v>
      </c>
      <c r="DS17" s="74"/>
      <c r="DT17" s="74"/>
      <c r="DU17" s="326" t="str">
        <f t="shared" si="83"/>
        <v>0</v>
      </c>
      <c r="DV17" s="74"/>
      <c r="DW17" s="74"/>
      <c r="DX17" s="326" t="str">
        <f t="shared" si="84"/>
        <v>0</v>
      </c>
      <c r="DY17" s="74"/>
      <c r="DZ17" s="74"/>
      <c r="EA17" s="74"/>
      <c r="EB17" s="293">
        <f t="shared" si="85"/>
        <v>42870</v>
      </c>
      <c r="EC17" s="238">
        <v>43059</v>
      </c>
      <c r="ED17" s="468">
        <f t="shared" si="86"/>
        <v>6.3</v>
      </c>
      <c r="EE17" s="620"/>
      <c r="EF17" s="403"/>
      <c r="EG17" s="214">
        <v>43075</v>
      </c>
      <c r="EH17" s="75">
        <v>42712</v>
      </c>
      <c r="EI17" s="127">
        <v>43066</v>
      </c>
      <c r="EJ17" s="478"/>
      <c r="EK17" s="533">
        <f t="shared" ref="EK17:EK28" si="114">DATE(YEAR(EB17),MONTH(EB17)+1,DAY(EB17))</f>
        <v>42901</v>
      </c>
      <c r="EL17" s="384">
        <v>43068</v>
      </c>
      <c r="EM17" s="232">
        <v>2017</v>
      </c>
      <c r="EN17" s="464">
        <f t="shared" si="108"/>
        <v>5.5666666666666664</v>
      </c>
      <c r="EO17" s="455">
        <f>457276.500186631/12</f>
        <v>38106.375015552585</v>
      </c>
      <c r="EP17" s="213">
        <f t="shared" si="87"/>
        <v>212125.48758657606</v>
      </c>
      <c r="EQ17" s="214">
        <v>42978</v>
      </c>
      <c r="ER17" s="349">
        <v>0</v>
      </c>
      <c r="ES17" s="74">
        <v>0</v>
      </c>
      <c r="ET17" s="159"/>
      <c r="EU17" s="159"/>
      <c r="EV17" s="159"/>
      <c r="EW17" s="484"/>
      <c r="EX17" s="350"/>
      <c r="EY17" s="362"/>
      <c r="EZ17" s="350"/>
      <c r="FA17" s="350"/>
      <c r="FB17" s="126">
        <f t="shared" si="88"/>
        <v>731</v>
      </c>
      <c r="FC17" s="80"/>
      <c r="FD17" s="80">
        <v>43164</v>
      </c>
      <c r="FE17" s="80"/>
      <c r="FF17" s="80"/>
      <c r="FG17" s="81">
        <v>44195</v>
      </c>
      <c r="FH17" s="663" t="s">
        <v>803</v>
      </c>
      <c r="FI17" s="214">
        <f t="shared" si="89"/>
        <v>43424</v>
      </c>
      <c r="FJ17" s="443">
        <v>137952</v>
      </c>
      <c r="FK17" s="80"/>
      <c r="FL17" s="80"/>
      <c r="FM17" s="80"/>
      <c r="FN17" s="80"/>
      <c r="FO17" s="80"/>
      <c r="FP17" s="80"/>
      <c r="FQ17" s="31"/>
      <c r="FR17" s="31"/>
      <c r="FS17" s="126"/>
      <c r="FT17" s="425">
        <v>43160</v>
      </c>
      <c r="FU17" s="31"/>
      <c r="FV17" s="31"/>
      <c r="FW17" s="31"/>
      <c r="FX17" s="388">
        <v>14323815</v>
      </c>
      <c r="FY17" s="652">
        <f t="shared" si="90"/>
        <v>14364754</v>
      </c>
      <c r="FZ17" s="550">
        <f t="shared" si="91"/>
        <v>14364754</v>
      </c>
      <c r="GA17" s="500">
        <f t="shared" si="109"/>
        <v>14364754</v>
      </c>
      <c r="GB17" s="610">
        <f t="shared" ref="GB17:GB22" si="115">GM17+GN17+GR17</f>
        <v>2075000</v>
      </c>
      <c r="GC17" s="28">
        <f t="shared" si="92"/>
        <v>1949.7037051112566</v>
      </c>
      <c r="GD17" s="28">
        <f t="shared" si="93"/>
        <v>173069.32530120481</v>
      </c>
      <c r="GE17" s="9">
        <v>4422509</v>
      </c>
      <c r="GF17" s="417"/>
      <c r="GG17" s="16">
        <f t="shared" si="110"/>
        <v>53283.240963855424</v>
      </c>
      <c r="GH17" s="9">
        <f t="shared" ref="GH17:GH22" si="116">+GI17+GJ17</f>
        <v>8282245</v>
      </c>
      <c r="GI17" s="10">
        <v>1278025</v>
      </c>
      <c r="GJ17" s="10">
        <v>7004220</v>
      </c>
      <c r="GK17" s="407">
        <f t="shared" si="94"/>
        <v>99786.084337349399</v>
      </c>
      <c r="GL17" s="9"/>
      <c r="GM17" s="9">
        <v>1245000</v>
      </c>
      <c r="GN17" s="45">
        <v>415000</v>
      </c>
      <c r="GO17" s="23">
        <f t="shared" si="95"/>
        <v>8.6670471349526768E-2</v>
      </c>
      <c r="GP17" s="45"/>
      <c r="GQ17" s="45"/>
      <c r="GR17" s="9">
        <v>415000</v>
      </c>
      <c r="GS17" s="28">
        <f t="shared" si="96"/>
        <v>15000</v>
      </c>
      <c r="GT17" s="28">
        <f t="shared" si="97"/>
        <v>68283.240963855424</v>
      </c>
      <c r="GU17" s="680">
        <v>2467086.73961312</v>
      </c>
      <c r="GV17" s="680">
        <v>1660000</v>
      </c>
      <c r="GW17" s="680">
        <f>(GE17+GM17+GV17)/AD17</f>
        <v>88283.240963855424</v>
      </c>
      <c r="GX17" s="680">
        <v>0</v>
      </c>
      <c r="GY17" s="680">
        <f t="shared" si="98"/>
        <v>88283.240963855424</v>
      </c>
      <c r="GZ17" s="681">
        <f t="shared" si="111"/>
        <v>0.45620980509805781</v>
      </c>
      <c r="HA17" s="680">
        <v>770132.02990000008</v>
      </c>
      <c r="HB17" s="680"/>
      <c r="HC17" s="9">
        <v>0</v>
      </c>
      <c r="HD17" s="602"/>
      <c r="HE17" s="608">
        <f t="shared" si="99"/>
        <v>0</v>
      </c>
      <c r="HF17" s="616">
        <f t="shared" si="100"/>
        <v>14364754</v>
      </c>
      <c r="HG17" s="602">
        <f t="shared" ca="1" si="101"/>
        <v>14364754</v>
      </c>
      <c r="HH17" s="602"/>
      <c r="HI17" s="602"/>
      <c r="HJ17" s="602">
        <f t="shared" ref="HJ17:HJ30" si="117">GB17-HI17</f>
        <v>2075000</v>
      </c>
      <c r="HK17" s="609">
        <f t="shared" si="112"/>
        <v>0</v>
      </c>
      <c r="HL17" s="609"/>
      <c r="HM17" s="673"/>
      <c r="HN17" s="62"/>
      <c r="HO17" s="673"/>
      <c r="HP17" s="673">
        <f t="shared" si="102"/>
        <v>0</v>
      </c>
      <c r="HQ17" s="539"/>
      <c r="HR17" s="539"/>
      <c r="HS17" s="539"/>
      <c r="HT17" s="539"/>
      <c r="HU17" s="539"/>
      <c r="HV17" s="673"/>
      <c r="HW17" s="673">
        <f t="shared" si="103"/>
        <v>0</v>
      </c>
      <c r="HX17" s="539"/>
    </row>
    <row r="18" spans="1:232" ht="20.100000000000001" hidden="1" customHeight="1">
      <c r="A18" s="767" t="s">
        <v>72</v>
      </c>
      <c r="B18" s="6" t="s">
        <v>21</v>
      </c>
      <c r="C18" s="6" t="s">
        <v>90</v>
      </c>
      <c r="D18" s="6">
        <v>2012</v>
      </c>
      <c r="E18" s="6" t="s">
        <v>63</v>
      </c>
      <c r="F18" s="6" t="s">
        <v>23</v>
      </c>
      <c r="G18" s="490"/>
      <c r="H18" s="31" t="s">
        <v>187</v>
      </c>
      <c r="I18" s="31"/>
      <c r="J18" s="31"/>
      <c r="K18" s="180"/>
      <c r="L18" s="108"/>
      <c r="M18" s="108"/>
      <c r="N18" s="108"/>
      <c r="O18" s="142">
        <v>3735</v>
      </c>
      <c r="P18" s="142">
        <f>Q18</f>
        <v>860000</v>
      </c>
      <c r="Q18" s="142">
        <v>860000</v>
      </c>
      <c r="R18" s="142">
        <f>P18/(AD18+AD163)</f>
        <v>29655.172413793105</v>
      </c>
      <c r="S18" s="142">
        <f>P18/O18</f>
        <v>230.25435073627844</v>
      </c>
      <c r="T18" s="142">
        <f>Q18/O18</f>
        <v>230.25435073627844</v>
      </c>
      <c r="U18" s="142">
        <f>Q18/(AK18+AK163)</f>
        <v>360.08575065317876</v>
      </c>
      <c r="V18" s="142">
        <f>Q18/(AD18+AD163)</f>
        <v>29655.172413793105</v>
      </c>
      <c r="W18" s="142">
        <f>O18/(AD18+AD163)</f>
        <v>128.79310344827587</v>
      </c>
      <c r="X18" s="142"/>
      <c r="Y18" s="522">
        <f t="shared" si="63"/>
        <v>77.643908969210173</v>
      </c>
      <c r="Z18" s="143" t="s">
        <v>153</v>
      </c>
      <c r="AA18" s="145"/>
      <c r="AB18" s="146"/>
      <c r="AC18" s="6" t="s">
        <v>9</v>
      </c>
      <c r="AD18" s="493">
        <f t="shared" si="64"/>
        <v>29</v>
      </c>
      <c r="AE18" s="493">
        <f t="shared" si="65"/>
        <v>29</v>
      </c>
      <c r="AF18" s="6">
        <v>29</v>
      </c>
      <c r="AG18" s="7"/>
      <c r="AH18" s="42"/>
      <c r="AI18" s="42"/>
      <c r="AJ18" s="35">
        <v>2007.6900000000003</v>
      </c>
      <c r="AK18" s="278">
        <v>2388.3200000000002</v>
      </c>
      <c r="AL18" s="586">
        <f t="shared" si="66"/>
        <v>69.230689655172426</v>
      </c>
      <c r="AM18" s="8">
        <f t="shared" si="67"/>
        <v>82.355862068965521</v>
      </c>
      <c r="AN18" s="35">
        <v>7.4473879373807685</v>
      </c>
      <c r="AO18" s="35">
        <v>6.2604869900180882</v>
      </c>
      <c r="AP18" s="35">
        <v>515.5878030344827</v>
      </c>
      <c r="AQ18" s="37"/>
      <c r="AR18" s="37"/>
      <c r="AS18" s="37"/>
      <c r="AT18" s="37"/>
      <c r="AU18" s="37"/>
      <c r="AV18" s="8">
        <v>1046</v>
      </c>
      <c r="AW18" s="51">
        <v>0</v>
      </c>
      <c r="AX18" s="53">
        <f>AW18/O18</f>
        <v>0</v>
      </c>
      <c r="AY18" s="35">
        <v>4</v>
      </c>
      <c r="AZ18" s="34" t="s">
        <v>398</v>
      </c>
      <c r="BA18" s="8" t="s">
        <v>98</v>
      </c>
      <c r="BB18" s="35"/>
      <c r="BC18" s="35"/>
      <c r="BD18" s="35"/>
      <c r="BE18" s="35"/>
      <c r="BF18" s="31"/>
      <c r="BG18" s="31"/>
      <c r="BH18" s="126">
        <v>40963</v>
      </c>
      <c r="BI18" s="126"/>
      <c r="BJ18" s="660">
        <v>40998</v>
      </c>
      <c r="BK18" s="660">
        <v>41053</v>
      </c>
      <c r="BL18" s="661"/>
      <c r="BM18" s="659">
        <f t="shared" si="68"/>
        <v>1.8333333333333333</v>
      </c>
      <c r="BN18" s="578"/>
      <c r="BO18" s="546"/>
      <c r="BP18" s="558">
        <v>41285</v>
      </c>
      <c r="BQ18" s="634"/>
      <c r="BR18" s="634"/>
      <c r="BS18" s="110">
        <f>DATE(YEAR(BP18),MONTH(BP18)+3,DAY(BP18))</f>
        <v>41375</v>
      </c>
      <c r="BT18" s="65"/>
      <c r="BU18" s="201">
        <v>41395</v>
      </c>
      <c r="BV18" s="201">
        <f t="shared" si="69"/>
        <v>42125</v>
      </c>
      <c r="BW18" s="439">
        <v>139704</v>
      </c>
      <c r="BX18" s="201" t="str">
        <f t="shared" si="104"/>
        <v>oui</v>
      </c>
      <c r="BY18" s="557">
        <f t="shared" si="105"/>
        <v>-1.1000000000000001</v>
      </c>
      <c r="BZ18" s="439" t="str">
        <f t="shared" si="106"/>
        <v>0</v>
      </c>
      <c r="CA18" s="439">
        <f t="shared" si="107"/>
        <v>139704</v>
      </c>
      <c r="CB18" s="81"/>
      <c r="CC18" s="81"/>
      <c r="CD18" s="81"/>
      <c r="CE18" s="326" t="str">
        <f t="shared" si="70"/>
        <v>0</v>
      </c>
      <c r="CF18" s="81"/>
      <c r="CG18" s="81"/>
      <c r="CH18" s="326" t="str">
        <f t="shared" si="71"/>
        <v>0</v>
      </c>
      <c r="CI18" s="81"/>
      <c r="CJ18" s="81"/>
      <c r="CK18" s="326" t="str">
        <f t="shared" si="72"/>
        <v>0</v>
      </c>
      <c r="CL18" s="81"/>
      <c r="CM18" s="81"/>
      <c r="CN18" s="326" t="str">
        <f t="shared" si="73"/>
        <v>0</v>
      </c>
      <c r="CO18" s="83"/>
      <c r="CP18" s="365"/>
      <c r="CQ18" s="326" t="str">
        <f t="shared" si="74"/>
        <v>0</v>
      </c>
      <c r="CR18" s="292"/>
      <c r="CS18" s="159"/>
      <c r="CT18" s="81"/>
      <c r="CU18" s="159"/>
      <c r="CV18" s="326" t="str">
        <f t="shared" si="113"/>
        <v>0</v>
      </c>
      <c r="CW18" s="81"/>
      <c r="CX18" s="236">
        <v>41309</v>
      </c>
      <c r="CY18" s="230">
        <v>2013</v>
      </c>
      <c r="CZ18" s="285">
        <f t="shared" si="75"/>
        <v>8.5333333333333332</v>
      </c>
      <c r="DA18" s="326" t="str">
        <f t="shared" si="76"/>
        <v>0</v>
      </c>
      <c r="DB18" s="76">
        <v>15</v>
      </c>
      <c r="DC18" s="76">
        <f t="shared" si="77"/>
        <v>27</v>
      </c>
      <c r="DD18" s="214"/>
      <c r="DE18" s="213"/>
      <c r="DF18" s="448" t="str">
        <f t="shared" si="78"/>
        <v>0</v>
      </c>
      <c r="DG18" s="459"/>
      <c r="DH18" s="395"/>
      <c r="DI18" s="396" t="str">
        <f t="shared" si="79"/>
        <v>0</v>
      </c>
      <c r="DJ18" s="179"/>
      <c r="DK18" s="214"/>
      <c r="DL18" s="448" t="str">
        <f t="shared" si="80"/>
        <v>0</v>
      </c>
      <c r="DM18" s="214"/>
      <c r="DN18" s="214"/>
      <c r="DO18" s="448" t="str">
        <f t="shared" si="81"/>
        <v>0</v>
      </c>
      <c r="DP18" s="214"/>
      <c r="DQ18" s="214"/>
      <c r="DR18" s="448" t="str">
        <f t="shared" si="82"/>
        <v>0</v>
      </c>
      <c r="DS18" s="214"/>
      <c r="DT18" s="214"/>
      <c r="DU18" s="448" t="str">
        <f t="shared" si="83"/>
        <v>0</v>
      </c>
      <c r="DV18" s="214"/>
      <c r="DW18" s="214"/>
      <c r="DX18" s="448" t="str">
        <f t="shared" si="84"/>
        <v>0</v>
      </c>
      <c r="DY18" s="214"/>
      <c r="DZ18" s="214"/>
      <c r="EA18" s="214"/>
      <c r="EB18" s="293">
        <f t="shared" si="85"/>
        <v>41763</v>
      </c>
      <c r="EC18" s="238">
        <v>42158</v>
      </c>
      <c r="ED18" s="468">
        <f t="shared" si="86"/>
        <v>13.166666666666666</v>
      </c>
      <c r="EE18" s="620"/>
      <c r="EF18" s="293"/>
      <c r="EG18" s="75">
        <v>41992</v>
      </c>
      <c r="EH18" s="75" t="s">
        <v>105</v>
      </c>
      <c r="EI18" s="75">
        <v>42158</v>
      </c>
      <c r="EJ18" s="293"/>
      <c r="EK18" s="533">
        <f t="shared" si="114"/>
        <v>41794</v>
      </c>
      <c r="EL18" s="240">
        <v>42158</v>
      </c>
      <c r="EM18" s="294">
        <v>2015</v>
      </c>
      <c r="EN18" s="463">
        <f t="shared" si="108"/>
        <v>12.133333333333333</v>
      </c>
      <c r="EO18" s="455">
        <f>184847.662644658/12</f>
        <v>15403.971887054833</v>
      </c>
      <c r="EP18" s="159">
        <f t="shared" si="87"/>
        <v>186901.52556293196</v>
      </c>
      <c r="EQ18" s="75"/>
      <c r="ER18" s="349"/>
      <c r="ES18" s="454">
        <f>HC18</f>
        <v>20258</v>
      </c>
      <c r="ET18" s="353"/>
      <c r="EU18" s="353"/>
      <c r="EV18" s="353"/>
      <c r="EW18" s="483">
        <f t="shared" ref="EW18:EW30" si="118">EV18/FZ18</f>
        <v>0</v>
      </c>
      <c r="EX18" s="350"/>
      <c r="EY18" s="362"/>
      <c r="EZ18" s="350"/>
      <c r="FA18" s="350"/>
      <c r="FB18" s="126">
        <f t="shared" si="88"/>
        <v>731</v>
      </c>
      <c r="FC18" s="81"/>
      <c r="FD18" s="81"/>
      <c r="FE18" s="80"/>
      <c r="FF18" s="80"/>
      <c r="FG18" s="80"/>
      <c r="FH18" s="184" t="s">
        <v>231</v>
      </c>
      <c r="FI18" s="214">
        <f t="shared" si="89"/>
        <v>42524</v>
      </c>
      <c r="FJ18" s="442">
        <v>10000</v>
      </c>
      <c r="FK18" s="161" t="s">
        <v>219</v>
      </c>
      <c r="FL18" s="132">
        <v>42353</v>
      </c>
      <c r="FM18" s="132"/>
      <c r="FN18" s="80"/>
      <c r="FO18" s="80"/>
      <c r="FP18" s="420"/>
      <c r="FQ18" s="80"/>
      <c r="FR18" s="81">
        <v>43006</v>
      </c>
      <c r="FS18" s="125"/>
      <c r="FT18" s="125"/>
      <c r="FU18" s="125"/>
      <c r="FV18" s="80"/>
      <c r="FW18" s="132" t="s">
        <v>105</v>
      </c>
      <c r="FX18" s="392">
        <v>4670611</v>
      </c>
      <c r="FY18" s="652">
        <f t="shared" si="90"/>
        <v>4681218.38</v>
      </c>
      <c r="FZ18" s="550">
        <f t="shared" si="91"/>
        <v>4681218.38</v>
      </c>
      <c r="GA18" s="500">
        <f t="shared" si="109"/>
        <v>4681218.38</v>
      </c>
      <c r="GB18" s="610">
        <f t="shared" si="115"/>
        <v>1111</v>
      </c>
      <c r="GC18" s="28">
        <f t="shared" si="92"/>
        <v>1960.0465515508808</v>
      </c>
      <c r="GD18" s="28">
        <f t="shared" si="93"/>
        <v>161421.32344827586</v>
      </c>
      <c r="GE18" s="9">
        <v>1473759.38</v>
      </c>
      <c r="GF18" s="417"/>
      <c r="GG18" s="16">
        <f t="shared" si="110"/>
        <v>50819.28896551724</v>
      </c>
      <c r="GH18" s="9">
        <f t="shared" si="116"/>
        <v>3186090</v>
      </c>
      <c r="GI18" s="10">
        <v>549227</v>
      </c>
      <c r="GJ18" s="10">
        <v>2636863</v>
      </c>
      <c r="GK18" s="407">
        <f t="shared" si="94"/>
        <v>109865.1724137931</v>
      </c>
      <c r="GL18" s="9">
        <v>0</v>
      </c>
      <c r="GM18" s="12">
        <v>1</v>
      </c>
      <c r="GN18" s="44"/>
      <c r="GO18" s="23">
        <f t="shared" si="95"/>
        <v>2.1361960045965641E-7</v>
      </c>
      <c r="GP18" s="60"/>
      <c r="GQ18" s="60"/>
      <c r="GR18" s="12">
        <v>1110</v>
      </c>
      <c r="GS18" s="28">
        <f t="shared" si="96"/>
        <v>3.4482758620689655E-2</v>
      </c>
      <c r="GT18" s="28">
        <f t="shared" si="97"/>
        <v>50819.323448275856</v>
      </c>
      <c r="GU18" s="680">
        <v>0</v>
      </c>
      <c r="GV18" s="680">
        <v>0</v>
      </c>
      <c r="GW18" s="680" t="e">
        <f>(#REF!+#REF!+GV18)/AD18</f>
        <v>#REF!</v>
      </c>
      <c r="GX18" s="680">
        <v>0</v>
      </c>
      <c r="GY18" s="680">
        <f t="shared" si="98"/>
        <v>50819.323448275856</v>
      </c>
      <c r="GZ18" s="681">
        <f t="shared" si="111"/>
        <v>0.31482410354887136</v>
      </c>
      <c r="HA18" s="680"/>
      <c r="HB18" s="680"/>
      <c r="HC18" s="9">
        <v>20258</v>
      </c>
      <c r="HD18" s="602"/>
      <c r="HE18" s="608">
        <f t="shared" si="99"/>
        <v>0</v>
      </c>
      <c r="HF18" s="616">
        <f t="shared" si="100"/>
        <v>4681218.38</v>
      </c>
      <c r="HG18" s="602">
        <f t="shared" ca="1" si="101"/>
        <v>4681218.38</v>
      </c>
      <c r="HH18" s="602"/>
      <c r="HI18" s="602"/>
      <c r="HJ18" s="602">
        <f t="shared" si="117"/>
        <v>1111</v>
      </c>
      <c r="HK18" s="609">
        <f t="shared" si="112"/>
        <v>0</v>
      </c>
      <c r="HL18" s="609"/>
      <c r="HM18" s="673"/>
      <c r="HN18" s="62"/>
      <c r="HO18" s="673"/>
      <c r="HP18" s="673">
        <f t="shared" si="102"/>
        <v>0</v>
      </c>
      <c r="HQ18" s="539"/>
      <c r="HR18" s="539"/>
      <c r="HS18" s="539"/>
      <c r="HT18" s="539"/>
      <c r="HU18" s="539"/>
      <c r="HV18" s="673"/>
      <c r="HW18" s="673">
        <f t="shared" si="103"/>
        <v>0</v>
      </c>
      <c r="HX18" s="539"/>
    </row>
    <row r="19" spans="1:232" ht="20.100000000000001" hidden="1" customHeight="1">
      <c r="A19" s="767" t="s">
        <v>73</v>
      </c>
      <c r="B19" s="6" t="s">
        <v>21</v>
      </c>
      <c r="C19" s="6" t="s">
        <v>90</v>
      </c>
      <c r="D19" s="6">
        <v>2012</v>
      </c>
      <c r="E19" s="6" t="s">
        <v>63</v>
      </c>
      <c r="F19" s="6" t="s">
        <v>23</v>
      </c>
      <c r="G19" s="566"/>
      <c r="H19" s="6" t="s">
        <v>187</v>
      </c>
      <c r="I19" s="31"/>
      <c r="J19" s="31"/>
      <c r="K19" s="180"/>
      <c r="L19" s="108"/>
      <c r="M19" s="108"/>
      <c r="N19" s="108"/>
      <c r="O19" s="43"/>
      <c r="P19" s="43"/>
      <c r="Q19" s="43"/>
      <c r="R19" s="43"/>
      <c r="S19" s="43"/>
      <c r="T19" s="43"/>
      <c r="U19" s="43"/>
      <c r="V19" s="43"/>
      <c r="W19" s="43"/>
      <c r="X19" s="43"/>
      <c r="Y19" s="43" t="e">
        <f t="shared" si="63"/>
        <v>#DIV/0!</v>
      </c>
      <c r="Z19" s="143" t="s">
        <v>153</v>
      </c>
      <c r="AA19" s="145"/>
      <c r="AB19" s="146"/>
      <c r="AC19" s="6" t="s">
        <v>10</v>
      </c>
      <c r="AD19" s="493">
        <f t="shared" si="64"/>
        <v>13</v>
      </c>
      <c r="AE19" s="493">
        <f t="shared" si="65"/>
        <v>13</v>
      </c>
      <c r="AF19" s="7"/>
      <c r="AG19" s="6">
        <v>13</v>
      </c>
      <c r="AH19" s="42"/>
      <c r="AI19" s="42"/>
      <c r="AJ19" s="798">
        <v>759.6099999999999</v>
      </c>
      <c r="AK19" s="278">
        <v>926.6099999999999</v>
      </c>
      <c r="AL19" s="586">
        <f t="shared" si="66"/>
        <v>58.431538461538452</v>
      </c>
      <c r="AM19" s="8">
        <f t="shared" si="67"/>
        <v>71.277692307692305</v>
      </c>
      <c r="AN19" s="35">
        <v>6.37</v>
      </c>
      <c r="AO19" s="35">
        <v>5.22</v>
      </c>
      <c r="AP19" s="35">
        <v>403.29796109582185</v>
      </c>
      <c r="AQ19" s="37"/>
      <c r="AR19" s="37"/>
      <c r="AS19" s="37"/>
      <c r="AT19" s="37"/>
      <c r="AU19" s="37"/>
      <c r="AV19" s="7"/>
      <c r="AW19" s="124"/>
      <c r="AX19" s="70"/>
      <c r="AY19" s="42"/>
      <c r="AZ19" s="34" t="s">
        <v>398</v>
      </c>
      <c r="BA19" s="8" t="s">
        <v>98</v>
      </c>
      <c r="BB19" s="35"/>
      <c r="BC19" s="35"/>
      <c r="BD19" s="35"/>
      <c r="BE19" s="35"/>
      <c r="BF19" s="31"/>
      <c r="BG19" s="31"/>
      <c r="BH19" s="126">
        <v>40963</v>
      </c>
      <c r="BI19" s="126"/>
      <c r="BJ19" s="660">
        <v>40998</v>
      </c>
      <c r="BK19" s="660">
        <v>41081</v>
      </c>
      <c r="BL19" s="661"/>
      <c r="BM19" s="659">
        <f t="shared" si="68"/>
        <v>2.7666666666666666</v>
      </c>
      <c r="BN19" s="578"/>
      <c r="BO19" s="546"/>
      <c r="BP19" s="558">
        <v>41285</v>
      </c>
      <c r="BQ19" s="634"/>
      <c r="BR19" s="634"/>
      <c r="BS19" s="110">
        <f>DATE(YEAR(BP19),MONTH(BP19)+3,DAY(BP19))</f>
        <v>41375</v>
      </c>
      <c r="BT19" s="65"/>
      <c r="BU19" s="201">
        <v>41395</v>
      </c>
      <c r="BV19" s="201">
        <f t="shared" si="69"/>
        <v>42125</v>
      </c>
      <c r="BW19" s="439">
        <v>39110</v>
      </c>
      <c r="BX19" s="201" t="str">
        <f t="shared" si="104"/>
        <v>oui</v>
      </c>
      <c r="BY19" s="557">
        <f t="shared" si="105"/>
        <v>-1.1000000000000001</v>
      </c>
      <c r="BZ19" s="439" t="str">
        <f t="shared" si="106"/>
        <v>0</v>
      </c>
      <c r="CA19" s="439">
        <f t="shared" si="107"/>
        <v>39110</v>
      </c>
      <c r="CB19" s="81"/>
      <c r="CC19" s="81"/>
      <c r="CD19" s="81"/>
      <c r="CE19" s="326" t="str">
        <f t="shared" si="70"/>
        <v>0</v>
      </c>
      <c r="CF19" s="81"/>
      <c r="CG19" s="81"/>
      <c r="CH19" s="326" t="str">
        <f t="shared" si="71"/>
        <v>0</v>
      </c>
      <c r="CI19" s="81"/>
      <c r="CJ19" s="81"/>
      <c r="CK19" s="326" t="str">
        <f t="shared" si="72"/>
        <v>0</v>
      </c>
      <c r="CL19" s="81"/>
      <c r="CM19" s="81"/>
      <c r="CN19" s="326" t="str">
        <f t="shared" si="73"/>
        <v>0</v>
      </c>
      <c r="CO19" s="83"/>
      <c r="CP19" s="365"/>
      <c r="CQ19" s="326" t="str">
        <f t="shared" si="74"/>
        <v>0</v>
      </c>
      <c r="CR19" s="292"/>
      <c r="CS19" s="159"/>
      <c r="CT19" s="81"/>
      <c r="CU19" s="159"/>
      <c r="CV19" s="326" t="str">
        <f t="shared" si="113"/>
        <v>0</v>
      </c>
      <c r="CW19" s="81"/>
      <c r="CX19" s="236">
        <v>41309</v>
      </c>
      <c r="CY19" s="230">
        <v>2013</v>
      </c>
      <c r="CZ19" s="285">
        <f t="shared" si="75"/>
        <v>7.6</v>
      </c>
      <c r="DA19" s="326" t="str">
        <f t="shared" si="76"/>
        <v>0</v>
      </c>
      <c r="DB19" s="76">
        <v>15</v>
      </c>
      <c r="DC19" s="76">
        <f t="shared" si="77"/>
        <v>27</v>
      </c>
      <c r="DD19" s="214"/>
      <c r="DE19" s="213"/>
      <c r="DF19" s="448" t="str">
        <f t="shared" si="78"/>
        <v>0</v>
      </c>
      <c r="DG19" s="459"/>
      <c r="DH19" s="395"/>
      <c r="DI19" s="396" t="str">
        <f t="shared" si="79"/>
        <v>0</v>
      </c>
      <c r="DJ19" s="179"/>
      <c r="DK19" s="214"/>
      <c r="DL19" s="448" t="str">
        <f t="shared" si="80"/>
        <v>0</v>
      </c>
      <c r="DM19" s="214"/>
      <c r="DN19" s="214"/>
      <c r="DO19" s="448" t="str">
        <f t="shared" si="81"/>
        <v>0</v>
      </c>
      <c r="DP19" s="214"/>
      <c r="DQ19" s="214"/>
      <c r="DR19" s="448" t="str">
        <f t="shared" si="82"/>
        <v>0</v>
      </c>
      <c r="DS19" s="214"/>
      <c r="DT19" s="214"/>
      <c r="DU19" s="448" t="str">
        <f t="shared" si="83"/>
        <v>0</v>
      </c>
      <c r="DV19" s="214"/>
      <c r="DW19" s="214"/>
      <c r="DX19" s="448" t="str">
        <f t="shared" si="84"/>
        <v>0</v>
      </c>
      <c r="DY19" s="214"/>
      <c r="DZ19" s="214"/>
      <c r="EA19" s="214"/>
      <c r="EB19" s="293">
        <f t="shared" si="85"/>
        <v>41763</v>
      </c>
      <c r="EC19" s="238">
        <v>42158</v>
      </c>
      <c r="ED19" s="468">
        <f t="shared" si="86"/>
        <v>13.166666666666666</v>
      </c>
      <c r="EE19" s="620"/>
      <c r="EF19" s="293"/>
      <c r="EG19" s="75">
        <v>41992</v>
      </c>
      <c r="EH19" s="75" t="s">
        <v>105</v>
      </c>
      <c r="EI19" s="75">
        <v>42158</v>
      </c>
      <c r="EJ19" s="293"/>
      <c r="EK19" s="533">
        <f t="shared" si="114"/>
        <v>41794</v>
      </c>
      <c r="EL19" s="240">
        <v>42158</v>
      </c>
      <c r="EM19" s="294">
        <v>2015</v>
      </c>
      <c r="EN19" s="463">
        <f t="shared" si="108"/>
        <v>12.133333333333333</v>
      </c>
      <c r="EO19" s="455">
        <f>55171.5718158662/12</f>
        <v>4597.6309846555168</v>
      </c>
      <c r="EP19" s="159">
        <f t="shared" si="87"/>
        <v>55784.589280486936</v>
      </c>
      <c r="EQ19" s="75"/>
      <c r="ER19" s="349"/>
      <c r="ES19" s="454">
        <f>HC19</f>
        <v>90483</v>
      </c>
      <c r="ET19" s="353"/>
      <c r="EU19" s="353"/>
      <c r="EV19" s="353"/>
      <c r="EW19" s="483">
        <f t="shared" si="118"/>
        <v>0</v>
      </c>
      <c r="EX19" s="350"/>
      <c r="EY19" s="362" t="s">
        <v>535</v>
      </c>
      <c r="EZ19" s="350"/>
      <c r="FA19" s="350"/>
      <c r="FB19" s="126">
        <f t="shared" si="88"/>
        <v>731</v>
      </c>
      <c r="FC19" s="81"/>
      <c r="FD19" s="81"/>
      <c r="FE19" s="80"/>
      <c r="FF19" s="80"/>
      <c r="FG19" s="80"/>
      <c r="FH19" s="184" t="s">
        <v>231</v>
      </c>
      <c r="FI19" s="214">
        <f t="shared" si="89"/>
        <v>42524</v>
      </c>
      <c r="FJ19" s="442">
        <v>59673</v>
      </c>
      <c r="FK19" s="161" t="s">
        <v>219</v>
      </c>
      <c r="FL19" s="132">
        <v>42353</v>
      </c>
      <c r="FM19" s="132"/>
      <c r="FN19" s="80"/>
      <c r="FO19" s="80"/>
      <c r="FP19" s="420"/>
      <c r="FQ19" s="80"/>
      <c r="FR19" s="81">
        <v>43006</v>
      </c>
      <c r="FS19" s="125"/>
      <c r="FT19" s="125"/>
      <c r="FU19" s="125"/>
      <c r="FV19" s="80"/>
      <c r="FW19" s="132" t="s">
        <v>105</v>
      </c>
      <c r="FX19" s="392">
        <v>1808199</v>
      </c>
      <c r="FY19" s="652">
        <f t="shared" si="90"/>
        <v>1898659.47</v>
      </c>
      <c r="FZ19" s="550">
        <f t="shared" si="91"/>
        <v>1898659.47</v>
      </c>
      <c r="GA19" s="500">
        <f t="shared" si="109"/>
        <v>1898659.47</v>
      </c>
      <c r="GB19" s="610">
        <f t="shared" si="115"/>
        <v>60430</v>
      </c>
      <c r="GC19" s="28">
        <f t="shared" si="92"/>
        <v>2049.0383980315346</v>
      </c>
      <c r="GD19" s="28">
        <f t="shared" si="93"/>
        <v>146050.72846153847</v>
      </c>
      <c r="GE19" s="9">
        <v>706398.49</v>
      </c>
      <c r="GF19" s="417"/>
      <c r="GG19" s="16">
        <f t="shared" si="110"/>
        <v>54338.345384615386</v>
      </c>
      <c r="GH19" s="9">
        <f t="shared" si="116"/>
        <v>1041347.98</v>
      </c>
      <c r="GI19" s="10">
        <v>179485</v>
      </c>
      <c r="GJ19" s="10">
        <v>861862.98</v>
      </c>
      <c r="GK19" s="407">
        <f t="shared" si="94"/>
        <v>80103.690769230772</v>
      </c>
      <c r="GL19" s="9">
        <v>0</v>
      </c>
      <c r="GM19" s="12">
        <v>60000</v>
      </c>
      <c r="GN19" s="44"/>
      <c r="GO19" s="23">
        <f t="shared" si="95"/>
        <v>3.1601243376201633E-2</v>
      </c>
      <c r="GP19" s="45"/>
      <c r="GQ19" s="45"/>
      <c r="GR19" s="12">
        <v>430</v>
      </c>
      <c r="GS19" s="28">
        <f t="shared" si="96"/>
        <v>4615.3846153846152</v>
      </c>
      <c r="GT19" s="28">
        <f t="shared" si="97"/>
        <v>58953.729999999996</v>
      </c>
      <c r="GU19" s="680">
        <v>0</v>
      </c>
      <c r="GV19" s="680">
        <v>0</v>
      </c>
      <c r="GW19" s="680" t="e">
        <f>(#REF!+#REF!+GV19)/AD19</f>
        <v>#REF!</v>
      </c>
      <c r="GX19" s="680">
        <v>0</v>
      </c>
      <c r="GY19" s="680">
        <f t="shared" si="98"/>
        <v>58953.729999999996</v>
      </c>
      <c r="GZ19" s="681">
        <f t="shared" si="111"/>
        <v>0.40365242009405722</v>
      </c>
      <c r="HA19" s="680"/>
      <c r="HB19" s="680"/>
      <c r="HC19" s="9">
        <v>90483</v>
      </c>
      <c r="HD19" s="602"/>
      <c r="HE19" s="608">
        <f t="shared" si="99"/>
        <v>0</v>
      </c>
      <c r="HF19" s="616">
        <f t="shared" si="100"/>
        <v>1898659.47</v>
      </c>
      <c r="HG19" s="602">
        <f t="shared" ca="1" si="101"/>
        <v>1898659.47</v>
      </c>
      <c r="HH19" s="602"/>
      <c r="HI19" s="602"/>
      <c r="HJ19" s="602">
        <f t="shared" si="117"/>
        <v>60430</v>
      </c>
      <c r="HK19" s="609">
        <f t="shared" si="112"/>
        <v>0</v>
      </c>
      <c r="HL19" s="609"/>
      <c r="HM19" s="673"/>
      <c r="HN19" s="62"/>
      <c r="HO19" s="673"/>
      <c r="HP19" s="673">
        <f t="shared" si="102"/>
        <v>0</v>
      </c>
      <c r="HQ19" s="539"/>
      <c r="HR19" s="539"/>
      <c r="HS19" s="539"/>
      <c r="HT19" s="539"/>
      <c r="HU19" s="539"/>
      <c r="HV19" s="673"/>
      <c r="HW19" s="673">
        <f t="shared" si="103"/>
        <v>0</v>
      </c>
      <c r="HX19" s="539"/>
    </row>
    <row r="20" spans="1:232" ht="20.100000000000001" hidden="1" customHeight="1">
      <c r="A20" s="767" t="s">
        <v>56</v>
      </c>
      <c r="B20" s="6" t="s">
        <v>21</v>
      </c>
      <c r="C20" s="6" t="s">
        <v>90</v>
      </c>
      <c r="D20" s="6">
        <v>2012</v>
      </c>
      <c r="E20" s="6" t="s">
        <v>64</v>
      </c>
      <c r="F20" s="6"/>
      <c r="G20" s="490" t="s">
        <v>143</v>
      </c>
      <c r="H20" s="6" t="s">
        <v>187</v>
      </c>
      <c r="I20" s="31"/>
      <c r="J20" s="31"/>
      <c r="K20" s="180"/>
      <c r="L20" s="108"/>
      <c r="M20" s="108"/>
      <c r="N20" s="108"/>
      <c r="O20" s="142">
        <v>7275</v>
      </c>
      <c r="P20" s="142">
        <f>Q20</f>
        <v>773000</v>
      </c>
      <c r="Q20" s="142">
        <v>773000</v>
      </c>
      <c r="R20" s="142">
        <f t="shared" ref="R20:R26" si="119">P20/AD20</f>
        <v>9202.3809523809523</v>
      </c>
      <c r="S20" s="142">
        <f t="shared" ref="S20:S30" si="120">P20/O20</f>
        <v>106.25429553264605</v>
      </c>
      <c r="T20" s="142">
        <f t="shared" ref="T20:T30" si="121">Q20/O20</f>
        <v>106.25429553264605</v>
      </c>
      <c r="U20" s="142">
        <f t="shared" ref="U20:U30" si="122">Q20/AK20</f>
        <v>168.94476183815397</v>
      </c>
      <c r="V20" s="142">
        <f t="shared" ref="V20:V30" si="123">Q20/AD20</f>
        <v>9202.3809523809523</v>
      </c>
      <c r="W20" s="142">
        <f t="shared" ref="W20:W30" si="124">O20/AD20</f>
        <v>86.607142857142861</v>
      </c>
      <c r="X20" s="142"/>
      <c r="Y20" s="522">
        <f t="shared" si="63"/>
        <v>115.4639175257732</v>
      </c>
      <c r="Z20" s="143" t="s">
        <v>147</v>
      </c>
      <c r="AA20" s="145">
        <v>530</v>
      </c>
      <c r="AB20" s="146">
        <v>0.1</v>
      </c>
      <c r="AC20" s="6" t="s">
        <v>9</v>
      </c>
      <c r="AD20" s="493">
        <f t="shared" si="64"/>
        <v>84</v>
      </c>
      <c r="AE20" s="493">
        <f t="shared" si="65"/>
        <v>84</v>
      </c>
      <c r="AF20" s="6">
        <v>84</v>
      </c>
      <c r="AG20" s="7"/>
      <c r="AH20" s="272"/>
      <c r="AI20" s="272"/>
      <c r="AJ20" s="35">
        <v>4463.57</v>
      </c>
      <c r="AK20" s="278">
        <v>4575.46</v>
      </c>
      <c r="AL20" s="586">
        <f t="shared" si="66"/>
        <v>53.137738095238092</v>
      </c>
      <c r="AM20" s="8">
        <f t="shared" si="67"/>
        <v>54.469761904761903</v>
      </c>
      <c r="AN20" s="35">
        <v>7.3159053994896448</v>
      </c>
      <c r="AO20" s="35">
        <v>7.1369995287905477</v>
      </c>
      <c r="AP20" s="35">
        <v>388.75066504761912</v>
      </c>
      <c r="AQ20" s="37"/>
      <c r="AR20" s="37"/>
      <c r="AS20" s="37"/>
      <c r="AT20" s="37"/>
      <c r="AU20" s="37"/>
      <c r="AV20" s="8">
        <v>2038</v>
      </c>
      <c r="AW20" s="51">
        <v>0</v>
      </c>
      <c r="AX20" s="53">
        <f>AW20/O20</f>
        <v>0</v>
      </c>
      <c r="AY20" s="35">
        <v>4</v>
      </c>
      <c r="AZ20" s="34" t="s">
        <v>398</v>
      </c>
      <c r="BA20" s="8" t="s">
        <v>98</v>
      </c>
      <c r="BB20" s="35"/>
      <c r="BC20" s="35"/>
      <c r="BD20" s="35"/>
      <c r="BE20" s="35"/>
      <c r="BF20" s="31"/>
      <c r="BG20" s="31"/>
      <c r="BH20" s="126">
        <v>40963</v>
      </c>
      <c r="BI20" s="126"/>
      <c r="BJ20" s="660">
        <v>40998</v>
      </c>
      <c r="BK20" s="660">
        <v>41144</v>
      </c>
      <c r="BL20" s="661">
        <v>42481</v>
      </c>
      <c r="BM20" s="659">
        <f t="shared" si="68"/>
        <v>4.8666666666666663</v>
      </c>
      <c r="BN20" s="578"/>
      <c r="BO20" s="546"/>
      <c r="BP20" s="558">
        <v>41285</v>
      </c>
      <c r="BQ20" s="567"/>
      <c r="BR20" s="634"/>
      <c r="BS20" s="110">
        <f>DATE(YEAR(BP20),MONTH(BP20)+3,DAY(BP20))</f>
        <v>41375</v>
      </c>
      <c r="BT20" s="65"/>
      <c r="BU20" s="201">
        <v>41395</v>
      </c>
      <c r="BV20" s="201">
        <f t="shared" si="69"/>
        <v>42125</v>
      </c>
      <c r="BW20" s="439">
        <f>65495+213929</f>
        <v>279424</v>
      </c>
      <c r="BX20" s="201" t="str">
        <f t="shared" si="104"/>
        <v>non</v>
      </c>
      <c r="BY20" s="557">
        <f t="shared" si="105"/>
        <v>5.666666666666667</v>
      </c>
      <c r="BZ20" s="439">
        <f t="shared" si="106"/>
        <v>190638.31125577335</v>
      </c>
      <c r="CA20" s="439">
        <f t="shared" si="107"/>
        <v>88785.688744226645</v>
      </c>
      <c r="CB20" s="81"/>
      <c r="CC20" s="81"/>
      <c r="CD20" s="81"/>
      <c r="CE20" s="326" t="str">
        <f t="shared" si="70"/>
        <v>0</v>
      </c>
      <c r="CF20" s="81"/>
      <c r="CG20" s="81"/>
      <c r="CH20" s="326" t="str">
        <f t="shared" si="71"/>
        <v>0</v>
      </c>
      <c r="CI20" s="81"/>
      <c r="CJ20" s="81"/>
      <c r="CK20" s="326" t="str">
        <f t="shared" si="72"/>
        <v>0</v>
      </c>
      <c r="CL20" s="81"/>
      <c r="CM20" s="81"/>
      <c r="CN20" s="326" t="str">
        <f t="shared" si="73"/>
        <v>0</v>
      </c>
      <c r="CO20" s="83"/>
      <c r="CP20" s="365"/>
      <c r="CQ20" s="326" t="str">
        <f t="shared" si="74"/>
        <v>0</v>
      </c>
      <c r="CR20" s="292"/>
      <c r="CS20" s="159"/>
      <c r="CT20" s="81"/>
      <c r="CU20" s="159"/>
      <c r="CV20" s="326" t="str">
        <f t="shared" si="113"/>
        <v>0</v>
      </c>
      <c r="CW20" s="81"/>
      <c r="CX20" s="238">
        <v>41295</v>
      </c>
      <c r="CY20" s="230">
        <v>2013</v>
      </c>
      <c r="CZ20" s="285">
        <f t="shared" si="75"/>
        <v>5.0333333333333332</v>
      </c>
      <c r="DA20" s="326" t="str">
        <f t="shared" si="76"/>
        <v>0</v>
      </c>
      <c r="DB20" s="76">
        <v>19</v>
      </c>
      <c r="DC20" s="76">
        <f t="shared" si="77"/>
        <v>20</v>
      </c>
      <c r="DD20" s="214"/>
      <c r="DE20" s="213"/>
      <c r="DF20" s="448" t="str">
        <f t="shared" si="78"/>
        <v>0</v>
      </c>
      <c r="DG20" s="459"/>
      <c r="DH20" s="395"/>
      <c r="DI20" s="396" t="str">
        <f t="shared" si="79"/>
        <v>0</v>
      </c>
      <c r="DJ20" s="179"/>
      <c r="DK20" s="214"/>
      <c r="DL20" s="448" t="str">
        <f t="shared" si="80"/>
        <v>0</v>
      </c>
      <c r="DM20" s="214"/>
      <c r="DN20" s="214"/>
      <c r="DO20" s="448" t="str">
        <f t="shared" si="81"/>
        <v>0</v>
      </c>
      <c r="DP20" s="214"/>
      <c r="DQ20" s="214"/>
      <c r="DR20" s="448" t="str">
        <f t="shared" si="82"/>
        <v>0</v>
      </c>
      <c r="DS20" s="214"/>
      <c r="DT20" s="214"/>
      <c r="DU20" s="448" t="str">
        <f t="shared" si="83"/>
        <v>0</v>
      </c>
      <c r="DV20" s="214"/>
      <c r="DW20" s="214"/>
      <c r="DX20" s="448" t="str">
        <f t="shared" si="84"/>
        <v>0</v>
      </c>
      <c r="DY20" s="214"/>
      <c r="DZ20" s="214"/>
      <c r="EA20" s="214"/>
      <c r="EB20" s="293">
        <f t="shared" si="85"/>
        <v>41872</v>
      </c>
      <c r="EC20" s="238">
        <v>41927</v>
      </c>
      <c r="ED20" s="468">
        <f t="shared" si="86"/>
        <v>1.8333333333333333</v>
      </c>
      <c r="EE20" s="620"/>
      <c r="EF20" s="293"/>
      <c r="EG20" s="75">
        <v>41935</v>
      </c>
      <c r="EH20" s="75" t="s">
        <v>105</v>
      </c>
      <c r="EI20" s="84">
        <v>41955</v>
      </c>
      <c r="EJ20" s="293"/>
      <c r="EK20" s="533">
        <f t="shared" si="114"/>
        <v>41903</v>
      </c>
      <c r="EL20" s="240">
        <v>41955</v>
      </c>
      <c r="EM20" s="380">
        <v>2014</v>
      </c>
      <c r="EN20" s="463">
        <f t="shared" si="108"/>
        <v>1.7333333333333334</v>
      </c>
      <c r="EO20" s="455">
        <f>403704.659129873/12</f>
        <v>33642.054927489415</v>
      </c>
      <c r="EP20" s="159">
        <f t="shared" si="87"/>
        <v>58312.895207648318</v>
      </c>
      <c r="EQ20" s="75"/>
      <c r="ER20" s="349"/>
      <c r="ES20" s="454">
        <f>HC20</f>
        <v>0</v>
      </c>
      <c r="ET20" s="353"/>
      <c r="EU20" s="353"/>
      <c r="EV20" s="353"/>
      <c r="EW20" s="483">
        <f t="shared" si="118"/>
        <v>0</v>
      </c>
      <c r="EX20" s="350"/>
      <c r="EY20" s="362"/>
      <c r="EZ20" s="350"/>
      <c r="FA20" s="350"/>
      <c r="FB20" s="126">
        <f t="shared" si="88"/>
        <v>731</v>
      </c>
      <c r="FC20" s="81"/>
      <c r="FD20" s="81"/>
      <c r="FE20" s="81"/>
      <c r="FF20" s="81"/>
      <c r="FG20" s="80"/>
      <c r="FH20" s="132">
        <v>42250</v>
      </c>
      <c r="FI20" s="214">
        <f t="shared" si="89"/>
        <v>42292</v>
      </c>
      <c r="FJ20" s="445">
        <v>90420</v>
      </c>
      <c r="FK20" s="132">
        <v>41968</v>
      </c>
      <c r="FL20" s="81">
        <v>41969</v>
      </c>
      <c r="FM20" s="81"/>
      <c r="FN20" s="81" t="s">
        <v>105</v>
      </c>
      <c r="FO20" s="81">
        <v>42306</v>
      </c>
      <c r="FP20" s="81"/>
      <c r="FQ20" s="80"/>
      <c r="FR20" s="73">
        <v>42475</v>
      </c>
      <c r="FS20" s="73"/>
      <c r="FT20" s="73"/>
      <c r="FU20" s="73"/>
      <c r="FV20" s="81">
        <v>42219</v>
      </c>
      <c r="FW20" s="81" t="s">
        <v>105</v>
      </c>
      <c r="FX20" s="530"/>
      <c r="FY20" s="652">
        <f t="shared" si="90"/>
        <v>9756378.3699999992</v>
      </c>
      <c r="FZ20" s="550">
        <f t="shared" si="91"/>
        <v>9756378.3699999992</v>
      </c>
      <c r="GA20" s="500">
        <f t="shared" si="109"/>
        <v>9756378.3699999992</v>
      </c>
      <c r="GB20" s="610">
        <f t="shared" si="115"/>
        <v>63129</v>
      </c>
      <c r="GC20" s="28">
        <f t="shared" si="92"/>
        <v>2132.327322280164</v>
      </c>
      <c r="GD20" s="28">
        <f t="shared" si="93"/>
        <v>116147.36154761903</v>
      </c>
      <c r="GE20" s="9">
        <v>3263643</v>
      </c>
      <c r="GF20" s="417"/>
      <c r="GG20" s="16">
        <f t="shared" si="110"/>
        <v>38852.892857142855</v>
      </c>
      <c r="GH20" s="9">
        <f t="shared" si="116"/>
        <v>6429606.3699999992</v>
      </c>
      <c r="GI20" s="10">
        <v>1639468.02</v>
      </c>
      <c r="GJ20" s="10">
        <v>4790138.3499999996</v>
      </c>
      <c r="GK20" s="407">
        <f t="shared" si="94"/>
        <v>76542.932976190466</v>
      </c>
      <c r="GL20" s="9">
        <v>0</v>
      </c>
      <c r="GM20" s="12">
        <v>1</v>
      </c>
      <c r="GN20" s="44"/>
      <c r="GO20" s="23">
        <f t="shared" si="95"/>
        <v>1.0249704983510188E-7</v>
      </c>
      <c r="GP20" s="45"/>
      <c r="GQ20" s="45"/>
      <c r="GR20" s="9">
        <v>63128</v>
      </c>
      <c r="GS20" s="28">
        <f t="shared" si="96"/>
        <v>1.1904761904761904E-2</v>
      </c>
      <c r="GT20" s="28">
        <f t="shared" si="97"/>
        <v>38852.904761904763</v>
      </c>
      <c r="GU20" s="680">
        <v>0</v>
      </c>
      <c r="GV20" s="680">
        <v>0</v>
      </c>
      <c r="GW20" s="680" t="e">
        <f>(#REF!+#REF!+GV20)/AD20</f>
        <v>#REF!</v>
      </c>
      <c r="GX20" s="680">
        <v>0</v>
      </c>
      <c r="GY20" s="680">
        <f t="shared" si="98"/>
        <v>38852.904761904763</v>
      </c>
      <c r="GZ20" s="681">
        <f t="shared" si="111"/>
        <v>0.33451388171203122</v>
      </c>
      <c r="HA20" s="680"/>
      <c r="HB20" s="680"/>
      <c r="HC20" s="9">
        <v>0</v>
      </c>
      <c r="HD20" s="602"/>
      <c r="HE20" s="608">
        <f t="shared" si="99"/>
        <v>0</v>
      </c>
      <c r="HF20" s="616">
        <f t="shared" si="100"/>
        <v>9756378.3699999992</v>
      </c>
      <c r="HG20" s="602">
        <f t="shared" ca="1" si="101"/>
        <v>9756378.3699999992</v>
      </c>
      <c r="HH20" s="602"/>
      <c r="HI20" s="602"/>
      <c r="HJ20" s="602">
        <f t="shared" si="117"/>
        <v>63129</v>
      </c>
      <c r="HK20" s="609">
        <f t="shared" si="112"/>
        <v>0</v>
      </c>
      <c r="HL20" s="609"/>
      <c r="HM20" s="673"/>
      <c r="HN20" s="62"/>
      <c r="HO20" s="673"/>
      <c r="HP20" s="673">
        <f t="shared" si="102"/>
        <v>0</v>
      </c>
      <c r="HQ20" s="539"/>
      <c r="HR20" s="539"/>
      <c r="HS20" s="539"/>
      <c r="HT20" s="539"/>
      <c r="HU20" s="539"/>
      <c r="HV20" s="673"/>
      <c r="HW20" s="673">
        <f t="shared" si="103"/>
        <v>0</v>
      </c>
      <c r="HX20" s="539"/>
    </row>
    <row r="21" spans="1:232" ht="20.100000000000001" hidden="1" customHeight="1">
      <c r="A21" s="767" t="s">
        <v>57</v>
      </c>
      <c r="B21" s="6" t="s">
        <v>20</v>
      </c>
      <c r="C21" s="6" t="s">
        <v>91</v>
      </c>
      <c r="D21" s="6">
        <v>2012</v>
      </c>
      <c r="E21" s="6" t="s">
        <v>68</v>
      </c>
      <c r="F21" s="6" t="s">
        <v>40</v>
      </c>
      <c r="G21" s="490" t="s">
        <v>337</v>
      </c>
      <c r="H21" s="6" t="s">
        <v>187</v>
      </c>
      <c r="I21" s="31"/>
      <c r="J21" s="31" t="s">
        <v>264</v>
      </c>
      <c r="K21" s="180" t="s">
        <v>366</v>
      </c>
      <c r="L21" s="108"/>
      <c r="M21" s="108"/>
      <c r="N21" s="108"/>
      <c r="O21" s="142">
        <v>7382</v>
      </c>
      <c r="P21" s="142">
        <v>243429</v>
      </c>
      <c r="Q21" s="142">
        <v>239545</v>
      </c>
      <c r="R21" s="142">
        <f t="shared" si="119"/>
        <v>10142.875</v>
      </c>
      <c r="S21" s="142">
        <f t="shared" si="120"/>
        <v>32.976022758060147</v>
      </c>
      <c r="T21" s="142">
        <f t="shared" si="121"/>
        <v>32.449878081820643</v>
      </c>
      <c r="U21" s="142">
        <f t="shared" si="122"/>
        <v>117.04534349653083</v>
      </c>
      <c r="V21" s="142">
        <f t="shared" si="123"/>
        <v>9981.0416666666661</v>
      </c>
      <c r="W21" s="142">
        <f t="shared" si="124"/>
        <v>307.58333333333331</v>
      </c>
      <c r="X21" s="143"/>
      <c r="Y21" s="522">
        <f t="shared" si="63"/>
        <v>32.511514494716877</v>
      </c>
      <c r="Z21" s="143" t="s">
        <v>152</v>
      </c>
      <c r="AA21" s="145">
        <v>750</v>
      </c>
      <c r="AB21" s="146">
        <v>0.3</v>
      </c>
      <c r="AC21" s="6" t="s">
        <v>10</v>
      </c>
      <c r="AD21" s="493">
        <f t="shared" si="64"/>
        <v>24</v>
      </c>
      <c r="AE21" s="493">
        <f t="shared" si="65"/>
        <v>24</v>
      </c>
      <c r="AF21" s="7"/>
      <c r="AG21" s="6">
        <v>24</v>
      </c>
      <c r="AH21" s="42"/>
      <c r="AI21" s="42"/>
      <c r="AJ21" s="796">
        <v>2026.2599999999998</v>
      </c>
      <c r="AK21" s="278">
        <v>2046.6</v>
      </c>
      <c r="AL21" s="586">
        <f t="shared" si="66"/>
        <v>84.427499999999995</v>
      </c>
      <c r="AM21" s="8">
        <f t="shared" si="67"/>
        <v>85.274999999999991</v>
      </c>
      <c r="AN21" s="35">
        <v>5.01</v>
      </c>
      <c r="AO21" s="35">
        <v>4.96</v>
      </c>
      <c r="AP21" s="35">
        <v>423.09</v>
      </c>
      <c r="AQ21" s="37"/>
      <c r="AR21" s="37"/>
      <c r="AS21" s="37"/>
      <c r="AT21" s="37"/>
      <c r="AU21" s="37"/>
      <c r="AV21" s="8">
        <v>1700</v>
      </c>
      <c r="AW21" s="51">
        <v>486</v>
      </c>
      <c r="AX21" s="53">
        <f>AW21/O21</f>
        <v>6.5835816851801676E-2</v>
      </c>
      <c r="AY21" s="35">
        <v>1.5</v>
      </c>
      <c r="AZ21" s="34" t="s">
        <v>398</v>
      </c>
      <c r="BA21" s="8" t="s">
        <v>99</v>
      </c>
      <c r="BB21" s="35"/>
      <c r="BC21" s="35"/>
      <c r="BD21" s="35"/>
      <c r="BE21" s="35"/>
      <c r="BF21" s="31"/>
      <c r="BG21" s="31"/>
      <c r="BH21" s="126">
        <v>40963</v>
      </c>
      <c r="BI21" s="126"/>
      <c r="BJ21" s="660">
        <v>40998</v>
      </c>
      <c r="BK21" s="660">
        <v>41170</v>
      </c>
      <c r="BL21" s="661"/>
      <c r="BM21" s="659">
        <f t="shared" si="68"/>
        <v>5.7333333333333334</v>
      </c>
      <c r="BN21" s="578"/>
      <c r="BO21" s="546"/>
      <c r="BP21" s="558">
        <v>41256</v>
      </c>
      <c r="BQ21" s="634"/>
      <c r="BR21" s="634"/>
      <c r="BS21" s="110">
        <f>DATE(YEAR(BP21),MONTH(BP21)+3,DAY(BP21))</f>
        <v>41346</v>
      </c>
      <c r="BT21" s="65"/>
      <c r="BU21" s="201">
        <v>41365</v>
      </c>
      <c r="BV21" s="201">
        <f t="shared" si="69"/>
        <v>42095</v>
      </c>
      <c r="BW21" s="439">
        <v>87854</v>
      </c>
      <c r="BX21" s="201" t="str">
        <f t="shared" si="104"/>
        <v>oui</v>
      </c>
      <c r="BY21" s="557">
        <f t="shared" si="105"/>
        <v>-17.733333333333334</v>
      </c>
      <c r="BZ21" s="439" t="str">
        <f t="shared" si="106"/>
        <v>0</v>
      </c>
      <c r="CA21" s="439">
        <f t="shared" si="107"/>
        <v>87854</v>
      </c>
      <c r="CB21" s="81"/>
      <c r="CC21" s="81"/>
      <c r="CD21" s="81"/>
      <c r="CE21" s="326" t="str">
        <f t="shared" si="70"/>
        <v>0</v>
      </c>
      <c r="CF21" s="81"/>
      <c r="CG21" s="81"/>
      <c r="CH21" s="326" t="str">
        <f t="shared" si="71"/>
        <v>0</v>
      </c>
      <c r="CI21" s="81"/>
      <c r="CJ21" s="81"/>
      <c r="CK21" s="326" t="str">
        <f t="shared" si="72"/>
        <v>0</v>
      </c>
      <c r="CL21" s="81"/>
      <c r="CM21" s="81"/>
      <c r="CN21" s="326" t="str">
        <f t="shared" si="73"/>
        <v>0</v>
      </c>
      <c r="CO21" s="83"/>
      <c r="CP21" s="365"/>
      <c r="CQ21" s="326" t="str">
        <f t="shared" si="74"/>
        <v>0</v>
      </c>
      <c r="CR21" s="292"/>
      <c r="CS21" s="159"/>
      <c r="CT21" s="81"/>
      <c r="CU21" s="159"/>
      <c r="CV21" s="326" t="str">
        <f t="shared" si="113"/>
        <v>0</v>
      </c>
      <c r="CW21" s="81"/>
      <c r="CX21" s="236">
        <v>41572</v>
      </c>
      <c r="CY21" s="230">
        <v>2013</v>
      </c>
      <c r="CZ21" s="285">
        <f t="shared" si="75"/>
        <v>13.4</v>
      </c>
      <c r="DA21" s="326" t="str">
        <f t="shared" si="76"/>
        <v>0</v>
      </c>
      <c r="DB21" s="76">
        <v>17</v>
      </c>
      <c r="DC21" s="76">
        <f t="shared" si="77"/>
        <v>34</v>
      </c>
      <c r="DD21" s="214"/>
      <c r="DE21" s="213"/>
      <c r="DF21" s="448" t="str">
        <f t="shared" si="78"/>
        <v>0</v>
      </c>
      <c r="DG21" s="459"/>
      <c r="DH21" s="395"/>
      <c r="DI21" s="396" t="str">
        <f t="shared" si="79"/>
        <v>0</v>
      </c>
      <c r="DJ21" s="179"/>
      <c r="DK21" s="214"/>
      <c r="DL21" s="448" t="str">
        <f t="shared" si="80"/>
        <v>0</v>
      </c>
      <c r="DM21" s="213"/>
      <c r="DN21" s="214"/>
      <c r="DO21" s="448" t="str">
        <f t="shared" si="81"/>
        <v>0</v>
      </c>
      <c r="DP21" s="220"/>
      <c r="DQ21" s="220"/>
      <c r="DR21" s="448" t="str">
        <f t="shared" si="82"/>
        <v>0</v>
      </c>
      <c r="DS21" s="220"/>
      <c r="DT21" s="220"/>
      <c r="DU21" s="448" t="str">
        <f t="shared" si="83"/>
        <v>0</v>
      </c>
      <c r="DV21" s="214"/>
      <c r="DW21" s="214"/>
      <c r="DX21" s="448" t="str">
        <f t="shared" si="84"/>
        <v>0</v>
      </c>
      <c r="DY21" s="220"/>
      <c r="DZ21" s="220"/>
      <c r="EA21" s="220"/>
      <c r="EB21" s="293">
        <f t="shared" si="85"/>
        <v>42088</v>
      </c>
      <c r="EC21" s="236">
        <v>42619</v>
      </c>
      <c r="ED21" s="468">
        <f t="shared" si="86"/>
        <v>17.7</v>
      </c>
      <c r="EE21" s="620"/>
      <c r="EF21" s="293"/>
      <c r="EG21" s="75">
        <v>42633</v>
      </c>
      <c r="EH21" s="75">
        <v>42342</v>
      </c>
      <c r="EI21" s="75" t="s">
        <v>105</v>
      </c>
      <c r="EJ21" s="293"/>
      <c r="EK21" s="533">
        <f t="shared" si="114"/>
        <v>42119</v>
      </c>
      <c r="EL21" s="238">
        <v>42627</v>
      </c>
      <c r="EM21" s="232">
        <v>2016</v>
      </c>
      <c r="EN21" s="465">
        <f t="shared" si="108"/>
        <v>16.933333333333334</v>
      </c>
      <c r="EO21" s="455">
        <f>100906.540336335/12</f>
        <v>8408.8783613612504</v>
      </c>
      <c r="EP21" s="213">
        <f t="shared" si="87"/>
        <v>142390.34025238384</v>
      </c>
      <c r="EQ21" s="75" t="s">
        <v>105</v>
      </c>
      <c r="ER21" s="349"/>
      <c r="ES21" s="454">
        <f>HC21</f>
        <v>0</v>
      </c>
      <c r="ET21" s="353"/>
      <c r="EU21" s="353"/>
      <c r="EV21" s="353">
        <v>44803.79</v>
      </c>
      <c r="EW21" s="483">
        <f t="shared" si="118"/>
        <v>1.0920921423548439E-2</v>
      </c>
      <c r="EX21" s="350"/>
      <c r="EY21" s="362" t="s">
        <v>531</v>
      </c>
      <c r="EZ21" s="350"/>
      <c r="FA21" s="350"/>
      <c r="FB21" s="126">
        <f t="shared" si="88"/>
        <v>731</v>
      </c>
      <c r="FC21" s="137">
        <v>42702</v>
      </c>
      <c r="FD21" s="137"/>
      <c r="FE21" s="137" t="s">
        <v>105</v>
      </c>
      <c r="FF21" s="81" t="s">
        <v>105</v>
      </c>
      <c r="FG21" s="137">
        <v>42766</v>
      </c>
      <c r="FH21" s="137">
        <v>42979</v>
      </c>
      <c r="FI21" s="81">
        <f t="shared" si="89"/>
        <v>42984</v>
      </c>
      <c r="FJ21" s="442">
        <v>57355</v>
      </c>
      <c r="FK21" s="137">
        <v>42716</v>
      </c>
      <c r="FL21" s="137">
        <v>42755</v>
      </c>
      <c r="FM21" s="137"/>
      <c r="FN21" s="81"/>
      <c r="FO21" s="81"/>
      <c r="FP21" s="420"/>
      <c r="FQ21" s="80"/>
      <c r="FR21" s="427" t="s">
        <v>560</v>
      </c>
      <c r="FS21" s="381"/>
      <c r="FT21" s="161">
        <v>42808</v>
      </c>
      <c r="FU21" s="123" t="s">
        <v>105</v>
      </c>
      <c r="FV21" s="161">
        <v>43214</v>
      </c>
      <c r="FW21" s="132" t="s">
        <v>105</v>
      </c>
      <c r="FX21" s="392">
        <v>3907101</v>
      </c>
      <c r="FY21" s="652">
        <f t="shared" si="90"/>
        <v>4102565</v>
      </c>
      <c r="FZ21" s="550">
        <f t="shared" si="91"/>
        <v>4102565</v>
      </c>
      <c r="GA21" s="500">
        <f t="shared" si="109"/>
        <v>4102565</v>
      </c>
      <c r="GB21" s="610">
        <f t="shared" si="115"/>
        <v>384000</v>
      </c>
      <c r="GC21" s="28">
        <f t="shared" si="92"/>
        <v>2004.5758819505522</v>
      </c>
      <c r="GD21" s="28">
        <f t="shared" si="93"/>
        <v>170940.20833333334</v>
      </c>
      <c r="GE21" s="9">
        <v>1196851</v>
      </c>
      <c r="GF21" s="417"/>
      <c r="GG21" s="16">
        <f t="shared" si="110"/>
        <v>49868.791666666664</v>
      </c>
      <c r="GH21" s="9">
        <f t="shared" si="116"/>
        <v>2362522</v>
      </c>
      <c r="GI21" s="10">
        <v>585357</v>
      </c>
      <c r="GJ21" s="10">
        <v>1777165</v>
      </c>
      <c r="GK21" s="407">
        <f t="shared" si="94"/>
        <v>98438.416666666672</v>
      </c>
      <c r="GL21" s="9">
        <v>159192</v>
      </c>
      <c r="GM21" s="12">
        <v>384000</v>
      </c>
      <c r="GN21" s="44"/>
      <c r="GO21" s="23">
        <f t="shared" si="95"/>
        <v>9.3599979525004484E-2</v>
      </c>
      <c r="GP21" s="576"/>
      <c r="GQ21" s="576"/>
      <c r="GR21" s="12">
        <v>0</v>
      </c>
      <c r="GS21" s="28">
        <f t="shared" si="96"/>
        <v>16000</v>
      </c>
      <c r="GT21" s="28">
        <f t="shared" si="97"/>
        <v>65868.791666666672</v>
      </c>
      <c r="GU21" s="680">
        <v>913316.69861249998</v>
      </c>
      <c r="GV21" s="680">
        <v>480000</v>
      </c>
      <c r="GW21" s="680" t="e">
        <f>(#REF!+#REF!+GV21)/AD21</f>
        <v>#REF!</v>
      </c>
      <c r="GX21" s="680">
        <v>148968.80577250005</v>
      </c>
      <c r="GY21" s="680">
        <f t="shared" si="98"/>
        <v>92075.825240520833</v>
      </c>
      <c r="GZ21" s="681">
        <f t="shared" si="111"/>
        <v>0.46341443471424698</v>
      </c>
      <c r="HA21" s="680">
        <v>247321.11820000003</v>
      </c>
      <c r="HB21" s="683"/>
      <c r="HC21" s="9"/>
      <c r="HD21" s="602"/>
      <c r="HE21" s="608">
        <f t="shared" si="99"/>
        <v>0</v>
      </c>
      <c r="HF21" s="616">
        <f t="shared" si="100"/>
        <v>4102565</v>
      </c>
      <c r="HG21" s="602">
        <f t="shared" ca="1" si="101"/>
        <v>4102565</v>
      </c>
      <c r="HH21" s="602"/>
      <c r="HI21" s="602"/>
      <c r="HJ21" s="602">
        <f t="shared" si="117"/>
        <v>384000</v>
      </c>
      <c r="HK21" s="609">
        <f t="shared" si="112"/>
        <v>0</v>
      </c>
      <c r="HL21" s="609"/>
      <c r="HM21" s="673"/>
      <c r="HN21" s="62"/>
      <c r="HO21" s="673"/>
      <c r="HP21" s="673">
        <f t="shared" si="102"/>
        <v>0</v>
      </c>
      <c r="HQ21" s="539"/>
      <c r="HR21" s="539"/>
      <c r="HS21" s="539"/>
      <c r="HT21" s="539"/>
      <c r="HU21" s="539"/>
      <c r="HV21" s="673"/>
      <c r="HW21" s="673">
        <f t="shared" si="103"/>
        <v>0</v>
      </c>
      <c r="HX21" s="539"/>
    </row>
    <row r="22" spans="1:232" ht="20.100000000000001" hidden="1" customHeight="1">
      <c r="A22" s="767" t="s">
        <v>204</v>
      </c>
      <c r="B22" s="6" t="s">
        <v>20</v>
      </c>
      <c r="C22" s="6" t="s">
        <v>91</v>
      </c>
      <c r="D22" s="6">
        <v>2012</v>
      </c>
      <c r="E22" s="6" t="s">
        <v>70</v>
      </c>
      <c r="F22" s="6" t="s">
        <v>40</v>
      </c>
      <c r="G22" s="490" t="s">
        <v>337</v>
      </c>
      <c r="H22" s="6" t="s">
        <v>187</v>
      </c>
      <c r="I22" s="31"/>
      <c r="J22" s="31"/>
      <c r="K22" s="270" t="s">
        <v>433</v>
      </c>
      <c r="L22" s="108"/>
      <c r="M22" s="108"/>
      <c r="N22" s="108"/>
      <c r="O22" s="142">
        <v>3000</v>
      </c>
      <c r="P22" s="142">
        <v>200500</v>
      </c>
      <c r="Q22" s="142">
        <v>112930</v>
      </c>
      <c r="R22" s="142">
        <f t="shared" si="119"/>
        <v>20050</v>
      </c>
      <c r="S22" s="142">
        <f t="shared" si="120"/>
        <v>66.833333333333329</v>
      </c>
      <c r="T22" s="142">
        <f t="shared" si="121"/>
        <v>37.643333333333331</v>
      </c>
      <c r="U22" s="142">
        <f t="shared" si="122"/>
        <v>120.70587229312298</v>
      </c>
      <c r="V22" s="142">
        <f t="shared" si="123"/>
        <v>11293</v>
      </c>
      <c r="W22" s="142">
        <f t="shared" si="124"/>
        <v>300</v>
      </c>
      <c r="X22" s="143">
        <v>691.97</v>
      </c>
      <c r="Y22" s="522">
        <f t="shared" si="63"/>
        <v>33.333333333333336</v>
      </c>
      <c r="Z22" s="143" t="s">
        <v>152</v>
      </c>
      <c r="AA22" s="145">
        <v>850</v>
      </c>
      <c r="AB22" s="146">
        <v>0.3</v>
      </c>
      <c r="AC22" s="6" t="s">
        <v>10</v>
      </c>
      <c r="AD22" s="493">
        <f t="shared" si="64"/>
        <v>10</v>
      </c>
      <c r="AE22" s="493">
        <f t="shared" si="65"/>
        <v>10</v>
      </c>
      <c r="AF22" s="7"/>
      <c r="AG22" s="6">
        <v>10</v>
      </c>
      <c r="AH22" s="42"/>
      <c r="AI22" s="42"/>
      <c r="AJ22" s="35">
        <v>930.18000000000006</v>
      </c>
      <c r="AK22" s="278">
        <v>935.58</v>
      </c>
      <c r="AL22" s="586">
        <f t="shared" si="66"/>
        <v>93.018000000000001</v>
      </c>
      <c r="AM22" s="8">
        <f t="shared" si="67"/>
        <v>93.558000000000007</v>
      </c>
      <c r="AN22" s="35">
        <v>4.87</v>
      </c>
      <c r="AO22" s="35">
        <v>4.84</v>
      </c>
      <c r="AP22" s="35">
        <v>453.23</v>
      </c>
      <c r="AQ22" s="37"/>
      <c r="AR22" s="37"/>
      <c r="AS22" s="53">
        <f>3/AD22</f>
        <v>0.3</v>
      </c>
      <c r="AT22" s="53">
        <f>5/AD22</f>
        <v>0.5</v>
      </c>
      <c r="AU22" s="53">
        <f>2/AD22</f>
        <v>0.2</v>
      </c>
      <c r="AV22" s="8">
        <v>884</v>
      </c>
      <c r="AW22" s="51">
        <v>91</v>
      </c>
      <c r="AX22" s="53">
        <f>AW22/O22</f>
        <v>3.0333333333333334E-2</v>
      </c>
      <c r="AY22" s="35">
        <v>1.5</v>
      </c>
      <c r="AZ22" s="37" t="s">
        <v>397</v>
      </c>
      <c r="BA22" s="8" t="s">
        <v>99</v>
      </c>
      <c r="BB22" s="35"/>
      <c r="BC22" s="35"/>
      <c r="BD22" s="35"/>
      <c r="BE22" s="35"/>
      <c r="BF22" s="31"/>
      <c r="BG22" s="31"/>
      <c r="BH22" s="126">
        <v>40963</v>
      </c>
      <c r="BI22" s="126"/>
      <c r="BJ22" s="660">
        <v>40998</v>
      </c>
      <c r="BK22" s="660">
        <v>41179</v>
      </c>
      <c r="BL22" s="661"/>
      <c r="BM22" s="659">
        <f t="shared" si="68"/>
        <v>6.0333333333333332</v>
      </c>
      <c r="BN22" s="578"/>
      <c r="BO22" s="546"/>
      <c r="BP22" s="558">
        <v>41256</v>
      </c>
      <c r="BQ22" s="634"/>
      <c r="BR22" s="634"/>
      <c r="BS22" s="110">
        <f>DATE(YEAR(BP22),MONTH(BP22)+3,DAY(BP22))</f>
        <v>41346</v>
      </c>
      <c r="BT22" s="65"/>
      <c r="BU22" s="201">
        <v>41365</v>
      </c>
      <c r="BV22" s="201">
        <f t="shared" si="69"/>
        <v>42095</v>
      </c>
      <c r="BW22" s="439">
        <v>41370</v>
      </c>
      <c r="BX22" s="201" t="str">
        <f t="shared" si="104"/>
        <v>oui</v>
      </c>
      <c r="BY22" s="557">
        <f t="shared" si="105"/>
        <v>-6.3666666666666663</v>
      </c>
      <c r="BZ22" s="439" t="str">
        <f t="shared" si="106"/>
        <v>0</v>
      </c>
      <c r="CA22" s="439">
        <f t="shared" si="107"/>
        <v>41370</v>
      </c>
      <c r="CB22" s="81"/>
      <c r="CC22" s="81"/>
      <c r="CD22" s="81"/>
      <c r="CE22" s="326" t="str">
        <f t="shared" si="70"/>
        <v>0</v>
      </c>
      <c r="CF22" s="81"/>
      <c r="CG22" s="81"/>
      <c r="CH22" s="326" t="str">
        <f t="shared" si="71"/>
        <v>0</v>
      </c>
      <c r="CI22" s="81"/>
      <c r="CJ22" s="81"/>
      <c r="CK22" s="326" t="str">
        <f t="shared" si="72"/>
        <v>0</v>
      </c>
      <c r="CL22" s="81"/>
      <c r="CM22" s="81"/>
      <c r="CN22" s="326" t="str">
        <f t="shared" si="73"/>
        <v>0</v>
      </c>
      <c r="CO22" s="83"/>
      <c r="CP22" s="365"/>
      <c r="CQ22" s="326" t="str">
        <f t="shared" si="74"/>
        <v>0</v>
      </c>
      <c r="CR22" s="292"/>
      <c r="CS22" s="159"/>
      <c r="CT22" s="81"/>
      <c r="CU22" s="159"/>
      <c r="CV22" s="326" t="str">
        <f t="shared" si="113"/>
        <v>0</v>
      </c>
      <c r="CW22" s="81"/>
      <c r="CX22" s="236">
        <v>41451</v>
      </c>
      <c r="CY22" s="230">
        <v>2013</v>
      </c>
      <c r="CZ22" s="285">
        <f t="shared" si="75"/>
        <v>9.0666666666666664</v>
      </c>
      <c r="DA22" s="326" t="str">
        <f t="shared" si="76"/>
        <v>0</v>
      </c>
      <c r="DB22" s="168">
        <v>14</v>
      </c>
      <c r="DC22" s="83">
        <f t="shared" si="77"/>
        <v>26</v>
      </c>
      <c r="DD22" s="214"/>
      <c r="DE22" s="213"/>
      <c r="DF22" s="448" t="str">
        <f t="shared" si="78"/>
        <v>0</v>
      </c>
      <c r="DG22" s="459"/>
      <c r="DH22" s="395"/>
      <c r="DI22" s="396" t="str">
        <f t="shared" si="79"/>
        <v>0</v>
      </c>
      <c r="DJ22" s="179"/>
      <c r="DK22" s="214">
        <f ca="1">IF(DJ22&lt;TODAY(),TODAY(),DJ22)</f>
        <v>43950</v>
      </c>
      <c r="DL22" s="448" t="str">
        <f t="shared" ca="1" si="80"/>
        <v>0</v>
      </c>
      <c r="DM22" s="214"/>
      <c r="DN22" s="214"/>
      <c r="DO22" s="448" t="str">
        <f t="shared" si="81"/>
        <v>0</v>
      </c>
      <c r="DP22" s="214"/>
      <c r="DQ22" s="214"/>
      <c r="DR22" s="448" t="str">
        <f t="shared" si="82"/>
        <v>0</v>
      </c>
      <c r="DS22" s="214"/>
      <c r="DT22" s="214"/>
      <c r="DU22" s="448" t="str">
        <f t="shared" si="83"/>
        <v>0</v>
      </c>
      <c r="DV22" s="214"/>
      <c r="DW22" s="214"/>
      <c r="DX22" s="448" t="str">
        <f t="shared" si="84"/>
        <v>0</v>
      </c>
      <c r="DY22" s="214"/>
      <c r="DZ22" s="214"/>
      <c r="EA22" s="214"/>
      <c r="EB22" s="293">
        <f t="shared" si="85"/>
        <v>41877</v>
      </c>
      <c r="EC22" s="238">
        <v>42265</v>
      </c>
      <c r="ED22" s="468">
        <f t="shared" si="86"/>
        <v>12.933333333333334</v>
      </c>
      <c r="EE22" s="620"/>
      <c r="EF22" s="293"/>
      <c r="EG22" s="84">
        <v>42285</v>
      </c>
      <c r="EH22" s="162" t="s">
        <v>105</v>
      </c>
      <c r="EI22" s="84">
        <v>42277</v>
      </c>
      <c r="EJ22" s="382"/>
      <c r="EK22" s="533">
        <f t="shared" si="114"/>
        <v>41908</v>
      </c>
      <c r="EL22" s="240">
        <v>42286</v>
      </c>
      <c r="EM22" s="294">
        <v>2015</v>
      </c>
      <c r="EN22" s="463">
        <f t="shared" si="108"/>
        <v>12.6</v>
      </c>
      <c r="EO22" s="458">
        <f>56031.6736154515/12</f>
        <v>4669.3061346209588</v>
      </c>
      <c r="EP22" s="159">
        <f t="shared" si="87"/>
        <v>58833.257296224081</v>
      </c>
      <c r="EQ22" s="84"/>
      <c r="ER22" s="349"/>
      <c r="ES22" s="454">
        <f>HC22</f>
        <v>179385.62</v>
      </c>
      <c r="ET22" s="353"/>
      <c r="EU22" s="353"/>
      <c r="EV22" s="353"/>
      <c r="EW22" s="483">
        <f t="shared" si="118"/>
        <v>0</v>
      </c>
      <c r="EX22" s="350"/>
      <c r="EY22" s="362" t="s">
        <v>533</v>
      </c>
      <c r="EZ22" s="350"/>
      <c r="FA22" s="350"/>
      <c r="FB22" s="126">
        <f t="shared" si="88"/>
        <v>731</v>
      </c>
      <c r="FC22" s="84" t="s">
        <v>105</v>
      </c>
      <c r="FD22" s="84"/>
      <c r="FE22" s="81" t="s">
        <v>105</v>
      </c>
      <c r="FF22" s="81" t="s">
        <v>105</v>
      </c>
      <c r="FG22" s="81" t="s">
        <v>105</v>
      </c>
      <c r="FH22" s="401" t="s">
        <v>105</v>
      </c>
      <c r="FI22" s="81">
        <f t="shared" si="89"/>
        <v>42631</v>
      </c>
      <c r="FJ22" s="442"/>
      <c r="FK22" s="132">
        <v>42311</v>
      </c>
      <c r="FL22" s="161" t="s">
        <v>263</v>
      </c>
      <c r="FM22" s="161"/>
      <c r="FN22" s="161" t="s">
        <v>105</v>
      </c>
      <c r="FO22" s="161">
        <v>42781</v>
      </c>
      <c r="FP22" s="161">
        <v>42781</v>
      </c>
      <c r="FQ22" s="80"/>
      <c r="FR22" s="381" t="s">
        <v>425</v>
      </c>
      <c r="FS22" s="31" t="s">
        <v>295</v>
      </c>
      <c r="FT22" s="161">
        <v>42808</v>
      </c>
      <c r="FU22" s="123" t="s">
        <v>105</v>
      </c>
      <c r="FV22" s="161">
        <v>43214</v>
      </c>
      <c r="FW22" s="132" t="s">
        <v>105</v>
      </c>
      <c r="FX22" s="392">
        <v>1723671</v>
      </c>
      <c r="FY22" s="652">
        <f t="shared" si="90"/>
        <v>2108085.62</v>
      </c>
      <c r="FZ22" s="550">
        <f t="shared" si="91"/>
        <v>2108085.62</v>
      </c>
      <c r="GA22" s="500">
        <f t="shared" si="109"/>
        <v>2108085.62</v>
      </c>
      <c r="GB22" s="610">
        <f t="shared" si="115"/>
        <v>165000</v>
      </c>
      <c r="GC22" s="28">
        <f t="shared" si="92"/>
        <v>2253.2392954103339</v>
      </c>
      <c r="GD22" s="28">
        <f t="shared" si="93"/>
        <v>210808.56200000001</v>
      </c>
      <c r="GE22" s="9">
        <v>553441</v>
      </c>
      <c r="GF22" s="417"/>
      <c r="GG22" s="16">
        <f t="shared" si="110"/>
        <v>55344.1</v>
      </c>
      <c r="GH22" s="9">
        <f t="shared" si="116"/>
        <v>1110259</v>
      </c>
      <c r="GI22" s="10">
        <v>257996</v>
      </c>
      <c r="GJ22" s="10">
        <v>852263</v>
      </c>
      <c r="GK22" s="407">
        <f t="shared" si="94"/>
        <v>111025.9</v>
      </c>
      <c r="GL22" s="9">
        <v>100000</v>
      </c>
      <c r="GM22" s="12">
        <v>165000</v>
      </c>
      <c r="GN22" s="44"/>
      <c r="GO22" s="23">
        <f t="shared" si="95"/>
        <v>7.8270065710139419E-2</v>
      </c>
      <c r="GP22" s="60"/>
      <c r="GQ22" s="60"/>
      <c r="GR22" s="12">
        <v>0</v>
      </c>
      <c r="GS22" s="28">
        <f t="shared" si="96"/>
        <v>16500</v>
      </c>
      <c r="GT22" s="28">
        <f t="shared" si="97"/>
        <v>71844.100000000006</v>
      </c>
      <c r="GU22" s="680">
        <v>666201.89926500001</v>
      </c>
      <c r="GV22" s="680">
        <v>200000</v>
      </c>
      <c r="GW22" s="680" t="e">
        <f>(#REF!+#REF!+GV22)/AD22</f>
        <v>#REF!</v>
      </c>
      <c r="GX22" s="680">
        <v>206916.91</v>
      </c>
      <c r="GY22" s="680">
        <f t="shared" si="98"/>
        <v>112535.791</v>
      </c>
      <c r="GZ22" s="681">
        <f t="shared" si="111"/>
        <v>0.42322822103740099</v>
      </c>
      <c r="HA22" s="680">
        <v>115301.53</v>
      </c>
      <c r="HB22" s="683"/>
      <c r="HC22" s="9">
        <v>179385.62</v>
      </c>
      <c r="HD22" s="602"/>
      <c r="HE22" s="608">
        <f t="shared" si="99"/>
        <v>0</v>
      </c>
      <c r="HF22" s="616">
        <f t="shared" si="100"/>
        <v>2108085.62</v>
      </c>
      <c r="HG22" s="602">
        <f t="shared" ca="1" si="101"/>
        <v>2108085.62</v>
      </c>
      <c r="HH22" s="602"/>
      <c r="HI22" s="602"/>
      <c r="HJ22" s="602">
        <f t="shared" si="117"/>
        <v>165000</v>
      </c>
      <c r="HK22" s="609">
        <f t="shared" si="112"/>
        <v>0</v>
      </c>
      <c r="HL22" s="609"/>
      <c r="HM22" s="673"/>
      <c r="HN22" s="62"/>
      <c r="HO22" s="673"/>
      <c r="HP22" s="673">
        <f t="shared" si="102"/>
        <v>0</v>
      </c>
      <c r="HQ22" s="539"/>
      <c r="HR22" s="539"/>
      <c r="HS22" s="539"/>
      <c r="HT22" s="539"/>
      <c r="HU22" s="539"/>
      <c r="HV22" s="673"/>
      <c r="HW22" s="673">
        <f t="shared" si="103"/>
        <v>0</v>
      </c>
      <c r="HX22" s="539"/>
    </row>
    <row r="23" spans="1:232" ht="20.100000000000001" hidden="1" customHeight="1">
      <c r="A23" s="747" t="s">
        <v>744</v>
      </c>
      <c r="B23" s="6" t="s">
        <v>25</v>
      </c>
      <c r="C23" s="6" t="s">
        <v>92</v>
      </c>
      <c r="D23" s="6">
        <v>2015</v>
      </c>
      <c r="E23" s="6" t="s">
        <v>189</v>
      </c>
      <c r="F23" s="6" t="s">
        <v>903</v>
      </c>
      <c r="G23" s="6" t="s">
        <v>143</v>
      </c>
      <c r="H23" s="6" t="s">
        <v>137</v>
      </c>
      <c r="I23" s="31"/>
      <c r="J23" s="31"/>
      <c r="K23" s="180"/>
      <c r="L23" s="111" t="s">
        <v>44</v>
      </c>
      <c r="M23" s="67" t="s">
        <v>112</v>
      </c>
      <c r="N23" s="68"/>
      <c r="O23" s="142">
        <v>1263</v>
      </c>
      <c r="P23" s="142">
        <v>126500</v>
      </c>
      <c r="Q23" s="142">
        <v>126500</v>
      </c>
      <c r="R23" s="142">
        <f t="shared" si="119"/>
        <v>7027.7777777777774</v>
      </c>
      <c r="S23" s="142">
        <f t="shared" si="120"/>
        <v>100.15835312747427</v>
      </c>
      <c r="T23" s="148">
        <f t="shared" si="121"/>
        <v>100.15835312747427</v>
      </c>
      <c r="U23" s="148">
        <f t="shared" si="122"/>
        <v>86.456710134230022</v>
      </c>
      <c r="V23" s="148">
        <f t="shared" si="123"/>
        <v>7027.7777777777774</v>
      </c>
      <c r="W23" s="142">
        <f t="shared" si="124"/>
        <v>70.166666666666671</v>
      </c>
      <c r="X23" s="143"/>
      <c r="Y23" s="522">
        <f t="shared" si="63"/>
        <v>142.51781472684087</v>
      </c>
      <c r="Z23" s="143"/>
      <c r="AA23" s="145"/>
      <c r="AB23" s="146"/>
      <c r="AC23" s="15" t="s">
        <v>10</v>
      </c>
      <c r="AD23" s="493">
        <f t="shared" si="64"/>
        <v>18</v>
      </c>
      <c r="AE23" s="493">
        <f t="shared" si="65"/>
        <v>18</v>
      </c>
      <c r="AF23" s="7"/>
      <c r="AG23" s="6">
        <v>18</v>
      </c>
      <c r="AH23" s="42"/>
      <c r="AI23" s="42"/>
      <c r="AJ23" s="796">
        <v>1306.4099999999999</v>
      </c>
      <c r="AK23" s="278">
        <v>1463.16</v>
      </c>
      <c r="AL23" s="586">
        <f t="shared" si="66"/>
        <v>72.578333333333319</v>
      </c>
      <c r="AM23" s="8">
        <f t="shared" si="67"/>
        <v>81.286666666666676</v>
      </c>
      <c r="AN23" s="35">
        <v>5.86</v>
      </c>
      <c r="AO23" s="35">
        <v>5.23</v>
      </c>
      <c r="AP23" s="35">
        <v>425.19</v>
      </c>
      <c r="AQ23" s="53">
        <v>0</v>
      </c>
      <c r="AR23" s="53">
        <f>6/AD23</f>
        <v>0.33333333333333331</v>
      </c>
      <c r="AS23" s="53">
        <f>6/AD23</f>
        <v>0.33333333333333331</v>
      </c>
      <c r="AT23" s="53">
        <f>6/AD23</f>
        <v>0.33333333333333331</v>
      </c>
      <c r="AU23" s="53">
        <v>0</v>
      </c>
      <c r="AV23" s="8"/>
      <c r="AW23" s="51">
        <v>0</v>
      </c>
      <c r="AX23" s="53">
        <v>0</v>
      </c>
      <c r="AY23" s="37">
        <v>3</v>
      </c>
      <c r="AZ23" s="34" t="s">
        <v>398</v>
      </c>
      <c r="BA23" s="6" t="s">
        <v>98</v>
      </c>
      <c r="BB23" s="31"/>
      <c r="BC23" s="31"/>
      <c r="BD23" s="31"/>
      <c r="BE23" s="31"/>
      <c r="BF23" s="73">
        <v>42047</v>
      </c>
      <c r="BG23" s="73"/>
      <c r="BH23" s="31"/>
      <c r="BI23" s="31"/>
      <c r="BJ23" s="660">
        <v>42093</v>
      </c>
      <c r="BK23" s="660">
        <v>42298</v>
      </c>
      <c r="BL23" s="661"/>
      <c r="BM23" s="659">
        <f t="shared" si="68"/>
        <v>6.833333333333333</v>
      </c>
      <c r="BN23" s="578" t="s">
        <v>235</v>
      </c>
      <c r="BO23" s="109">
        <v>42885</v>
      </c>
      <c r="BP23" s="138">
        <v>42929</v>
      </c>
      <c r="BQ23" s="655">
        <f t="shared" ref="BQ23:BQ30" si="125">(DATEDIF(BO23,BP23,"d"))/30</f>
        <v>1.4666666666666666</v>
      </c>
      <c r="BR23" s="638">
        <v>66468</v>
      </c>
      <c r="BS23" s="110">
        <v>43013</v>
      </c>
      <c r="BT23" s="110">
        <v>42957</v>
      </c>
      <c r="BU23" s="202">
        <v>43040</v>
      </c>
      <c r="BV23" s="201">
        <f t="shared" si="69"/>
        <v>43770</v>
      </c>
      <c r="BW23" s="439">
        <f>63863+6067</f>
        <v>69930</v>
      </c>
      <c r="BX23" s="201" t="str">
        <f t="shared" si="104"/>
        <v>non</v>
      </c>
      <c r="BY23" s="557">
        <f t="shared" si="105"/>
        <v>2.9333333333333331</v>
      </c>
      <c r="BZ23" s="439">
        <f t="shared" si="106"/>
        <v>22661.466666666664</v>
      </c>
      <c r="CA23" s="439">
        <f t="shared" si="107"/>
        <v>47268.53333333334</v>
      </c>
      <c r="CB23" s="81">
        <v>41963</v>
      </c>
      <c r="CC23" s="81">
        <v>41955</v>
      </c>
      <c r="CD23" s="81">
        <v>41955</v>
      </c>
      <c r="CE23" s="326">
        <f t="shared" si="70"/>
        <v>0</v>
      </c>
      <c r="CF23" s="81">
        <v>42041</v>
      </c>
      <c r="CG23" s="81">
        <v>42012</v>
      </c>
      <c r="CH23" s="326">
        <f t="shared" si="71"/>
        <v>-29</v>
      </c>
      <c r="CI23" s="81">
        <v>42033</v>
      </c>
      <c r="CJ23" s="81">
        <v>42033</v>
      </c>
      <c r="CK23" s="326">
        <f t="shared" si="72"/>
        <v>0</v>
      </c>
      <c r="CL23" s="81">
        <v>42109</v>
      </c>
      <c r="CM23" s="81">
        <v>42109</v>
      </c>
      <c r="CN23" s="326">
        <f t="shared" si="73"/>
        <v>0</v>
      </c>
      <c r="CO23" s="81">
        <v>42174</v>
      </c>
      <c r="CP23" s="81">
        <v>42174</v>
      </c>
      <c r="CQ23" s="326">
        <f t="shared" si="74"/>
        <v>0</v>
      </c>
      <c r="CR23" s="290"/>
      <c r="CS23" s="81">
        <v>42472</v>
      </c>
      <c r="CT23" s="81">
        <v>42502</v>
      </c>
      <c r="CU23" s="81">
        <v>43088</v>
      </c>
      <c r="CV23" s="326">
        <f t="shared" si="113"/>
        <v>586</v>
      </c>
      <c r="CW23" s="81">
        <v>43112</v>
      </c>
      <c r="CX23" s="282">
        <v>43122</v>
      </c>
      <c r="CY23" s="283">
        <v>2018</v>
      </c>
      <c r="CZ23" s="288">
        <f t="shared" si="75"/>
        <v>27.466666666666665</v>
      </c>
      <c r="DA23" s="326">
        <f t="shared" si="76"/>
        <v>10</v>
      </c>
      <c r="DB23" s="179">
        <v>15</v>
      </c>
      <c r="DC23" s="76">
        <f t="shared" si="77"/>
        <v>17</v>
      </c>
      <c r="DD23" s="81"/>
      <c r="DE23" s="81">
        <v>43205</v>
      </c>
      <c r="DF23" s="326" t="str">
        <f t="shared" si="78"/>
        <v>0</v>
      </c>
      <c r="DG23" s="750"/>
      <c r="DH23" s="395">
        <v>43222</v>
      </c>
      <c r="DI23" s="329" t="str">
        <f t="shared" si="79"/>
        <v>0</v>
      </c>
      <c r="DJ23" s="81">
        <v>43375</v>
      </c>
      <c r="DK23" s="214">
        <v>43419</v>
      </c>
      <c r="DL23" s="326">
        <f t="shared" si="80"/>
        <v>44</v>
      </c>
      <c r="DM23" s="81">
        <v>43412</v>
      </c>
      <c r="DN23" s="81">
        <v>43445</v>
      </c>
      <c r="DO23" s="326">
        <f t="shared" si="81"/>
        <v>33</v>
      </c>
      <c r="DP23" s="167">
        <v>43427</v>
      </c>
      <c r="DQ23" s="132">
        <v>43412</v>
      </c>
      <c r="DR23" s="597">
        <f t="shared" si="82"/>
        <v>-15</v>
      </c>
      <c r="DS23" s="163">
        <v>43447</v>
      </c>
      <c r="DT23" s="132">
        <v>43495</v>
      </c>
      <c r="DU23" s="597">
        <f t="shared" si="83"/>
        <v>48</v>
      </c>
      <c r="DV23" s="132">
        <v>43552</v>
      </c>
      <c r="DW23" s="132">
        <v>43607</v>
      </c>
      <c r="DX23" s="597">
        <f t="shared" si="84"/>
        <v>55</v>
      </c>
      <c r="DY23" s="196"/>
      <c r="DZ23" s="196"/>
      <c r="EA23" s="164">
        <v>43599</v>
      </c>
      <c r="EB23" s="383">
        <f t="shared" si="85"/>
        <v>43577</v>
      </c>
      <c r="EC23" s="238">
        <v>43642</v>
      </c>
      <c r="ED23" s="501">
        <f t="shared" si="86"/>
        <v>2.1666666666666665</v>
      </c>
      <c r="EE23" s="620">
        <f ca="1">IF(((EC23-TODAY())/30)&lt;0,0,(EC23-TODAY())/30)</f>
        <v>0</v>
      </c>
      <c r="EF23" s="293">
        <f>DATE(YEAR(DH23)+2,MONTH(DH23),DAY(DH23))</f>
        <v>43953</v>
      </c>
      <c r="EG23" s="75">
        <v>43671</v>
      </c>
      <c r="EH23" s="215">
        <v>43348</v>
      </c>
      <c r="EI23" s="75">
        <v>43630</v>
      </c>
      <c r="EJ23" s="760">
        <v>43634</v>
      </c>
      <c r="EK23" s="533">
        <f t="shared" si="114"/>
        <v>43607</v>
      </c>
      <c r="EL23" s="238">
        <v>43682</v>
      </c>
      <c r="EM23" s="665">
        <v>2019</v>
      </c>
      <c r="EN23" s="497">
        <f t="shared" si="108"/>
        <v>2.5</v>
      </c>
      <c r="EO23" s="456">
        <f>92706/12</f>
        <v>7725.5</v>
      </c>
      <c r="EP23" s="508">
        <f t="shared" si="87"/>
        <v>19313.75</v>
      </c>
      <c r="EQ23" s="279"/>
      <c r="ER23" s="353">
        <v>0</v>
      </c>
      <c r="ES23" s="353">
        <v>0</v>
      </c>
      <c r="ET23" s="353">
        <v>115573</v>
      </c>
      <c r="EU23" s="353">
        <v>96000</v>
      </c>
      <c r="EV23" s="772"/>
      <c r="EW23" s="483">
        <f t="shared" si="118"/>
        <v>0</v>
      </c>
      <c r="EX23" s="350" t="s">
        <v>509</v>
      </c>
      <c r="EY23" s="362" t="s">
        <v>587</v>
      </c>
      <c r="EZ23" s="540" t="s">
        <v>683</v>
      </c>
      <c r="FA23" s="362" t="s">
        <v>511</v>
      </c>
      <c r="FB23" s="126">
        <f t="shared" si="88"/>
        <v>43953</v>
      </c>
      <c r="FC23" s="81">
        <v>43649</v>
      </c>
      <c r="FD23" s="80"/>
      <c r="FE23" s="80"/>
      <c r="FF23" s="80"/>
      <c r="FG23" s="80">
        <v>43768</v>
      </c>
      <c r="FH23" s="31" t="s">
        <v>824</v>
      </c>
      <c r="FI23" s="194">
        <f t="shared" si="89"/>
        <v>44008</v>
      </c>
      <c r="FJ23" s="279"/>
      <c r="FK23" s="74"/>
      <c r="FL23" s="73">
        <v>43815</v>
      </c>
      <c r="FM23" s="73">
        <v>43812</v>
      </c>
      <c r="FN23" s="31"/>
      <c r="FO23" s="31"/>
      <c r="FP23" s="31"/>
      <c r="FQ23" s="31"/>
      <c r="FR23" s="31" t="s">
        <v>133</v>
      </c>
      <c r="FS23" s="31"/>
      <c r="FT23" s="31"/>
      <c r="FU23" s="31"/>
      <c r="FV23" s="31"/>
      <c r="FW23" s="31"/>
      <c r="FX23" s="529"/>
      <c r="FY23" s="652">
        <f t="shared" si="90"/>
        <v>2921152.5218066997</v>
      </c>
      <c r="FZ23" s="550">
        <f t="shared" si="91"/>
        <v>2921152.5218066997</v>
      </c>
      <c r="GA23" s="500">
        <f t="shared" si="109"/>
        <v>2921152.5218066997</v>
      </c>
      <c r="GB23" s="610">
        <f>GM23+GN23+GR23+GQ23+GV23+GX23</f>
        <v>377485</v>
      </c>
      <c r="GC23" s="28">
        <f t="shared" si="92"/>
        <v>1996.468275381161</v>
      </c>
      <c r="GD23" s="28">
        <f t="shared" si="93"/>
        <v>162286.25121148332</v>
      </c>
      <c r="GE23" s="9">
        <v>885688.52180669981</v>
      </c>
      <c r="GF23" s="417">
        <v>866176</v>
      </c>
      <c r="GG23" s="16">
        <f t="shared" si="110"/>
        <v>49204.917878149987</v>
      </c>
      <c r="GH23" s="9">
        <f>GI23+GJ23</f>
        <v>1657979</v>
      </c>
      <c r="GI23" s="10">
        <v>261692</v>
      </c>
      <c r="GJ23" s="10">
        <v>1396287</v>
      </c>
      <c r="GK23" s="407">
        <f t="shared" si="94"/>
        <v>92109.944444444438</v>
      </c>
      <c r="GL23" s="9"/>
      <c r="GM23" s="9">
        <v>360000</v>
      </c>
      <c r="GN23" s="45"/>
      <c r="GO23" s="23">
        <f t="shared" si="95"/>
        <v>0.12323902888074605</v>
      </c>
      <c r="GP23" s="45"/>
      <c r="GQ23" s="45"/>
      <c r="GR23" s="9">
        <v>17485</v>
      </c>
      <c r="GS23" s="28">
        <f t="shared" si="96"/>
        <v>20000</v>
      </c>
      <c r="GT23" s="28">
        <f t="shared" si="97"/>
        <v>69204.91787814998</v>
      </c>
      <c r="GU23" s="680">
        <v>0</v>
      </c>
      <c r="GV23" s="680">
        <v>0</v>
      </c>
      <c r="GW23" s="680">
        <f t="shared" ref="GW23:GW30" si="126">(GE23+GM23+GV23)/AD23</f>
        <v>69204.91787814998</v>
      </c>
      <c r="GX23" s="680">
        <v>0</v>
      </c>
      <c r="GY23" s="680">
        <f t="shared" si="98"/>
        <v>69204.91787814998</v>
      </c>
      <c r="GZ23" s="681">
        <f t="shared" si="111"/>
        <v>0.42643734365374919</v>
      </c>
      <c r="HA23" s="680">
        <v>0</v>
      </c>
      <c r="HB23" s="680"/>
      <c r="HC23" s="9">
        <f>ES23</f>
        <v>0</v>
      </c>
      <c r="HD23" s="610">
        <v>2289749.1799699995</v>
      </c>
      <c r="HE23" s="608">
        <f t="shared" si="99"/>
        <v>0.78385129255552033</v>
      </c>
      <c r="HF23" s="616">
        <f t="shared" si="100"/>
        <v>631403.34183670022</v>
      </c>
      <c r="HG23" s="602">
        <f t="shared" ca="1" si="101"/>
        <v>631403.34183670022</v>
      </c>
      <c r="HH23" s="608">
        <f ca="1">(HG23+HD23)/FZ23</f>
        <v>1</v>
      </c>
      <c r="HI23" s="602">
        <f>'[1]GLOBAL OPERATION'!$AG$67</f>
        <v>308750.63</v>
      </c>
      <c r="HJ23" s="602">
        <f t="shared" si="117"/>
        <v>68734.37</v>
      </c>
      <c r="HK23" s="608">
        <f t="shared" si="112"/>
        <v>0.81791496350848381</v>
      </c>
      <c r="HL23" s="608"/>
      <c r="HM23" s="673"/>
      <c r="HN23" s="62"/>
      <c r="HO23" s="673"/>
      <c r="HP23" s="673">
        <f t="shared" si="102"/>
        <v>0</v>
      </c>
      <c r="HQ23" s="539"/>
      <c r="HR23" s="539"/>
      <c r="HS23" s="539"/>
      <c r="HT23" s="539"/>
      <c r="HU23" s="539"/>
      <c r="HV23" s="673"/>
      <c r="HW23" s="673">
        <f t="shared" si="103"/>
        <v>0</v>
      </c>
      <c r="HX23" s="539"/>
    </row>
    <row r="24" spans="1:232" ht="27.75" hidden="1" customHeight="1">
      <c r="A24" s="766" t="s">
        <v>687</v>
      </c>
      <c r="B24" s="15" t="s">
        <v>17</v>
      </c>
      <c r="C24" s="15" t="s">
        <v>90</v>
      </c>
      <c r="D24" s="15">
        <v>2015</v>
      </c>
      <c r="E24" s="15" t="s">
        <v>192</v>
      </c>
      <c r="F24" s="15" t="s">
        <v>16</v>
      </c>
      <c r="G24" s="15" t="s">
        <v>464</v>
      </c>
      <c r="H24" s="15" t="s">
        <v>137</v>
      </c>
      <c r="I24" s="32"/>
      <c r="J24" s="32"/>
      <c r="K24" s="180" t="s">
        <v>449</v>
      </c>
      <c r="L24" s="111" t="s">
        <v>43</v>
      </c>
      <c r="M24" s="67" t="s">
        <v>203</v>
      </c>
      <c r="N24" s="68"/>
      <c r="O24" s="147">
        <v>3547</v>
      </c>
      <c r="P24" s="147">
        <v>319230</v>
      </c>
      <c r="Q24" s="147">
        <v>132491.5</v>
      </c>
      <c r="R24" s="142">
        <f t="shared" si="119"/>
        <v>16801.57894736842</v>
      </c>
      <c r="S24" s="142">
        <f t="shared" si="120"/>
        <v>90</v>
      </c>
      <c r="T24" s="148">
        <f t="shared" si="121"/>
        <v>37.353115308711587</v>
      </c>
      <c r="U24" s="148">
        <f t="shared" si="122"/>
        <v>110.26440187087003</v>
      </c>
      <c r="V24" s="148">
        <f t="shared" si="123"/>
        <v>6973.2368421052633</v>
      </c>
      <c r="W24" s="142">
        <f t="shared" si="124"/>
        <v>186.68421052631578</v>
      </c>
      <c r="X24" s="149"/>
      <c r="Y24" s="524">
        <f t="shared" si="63"/>
        <v>53.566394135889482</v>
      </c>
      <c r="Z24" s="149" t="s">
        <v>153</v>
      </c>
      <c r="AA24" s="769">
        <v>30</v>
      </c>
      <c r="AB24" s="770"/>
      <c r="AC24" s="15" t="s">
        <v>10</v>
      </c>
      <c r="AD24" s="493">
        <f t="shared" si="64"/>
        <v>19</v>
      </c>
      <c r="AE24" s="493">
        <f t="shared" si="65"/>
        <v>19</v>
      </c>
      <c r="AF24" s="29"/>
      <c r="AG24" s="15">
        <v>19</v>
      </c>
      <c r="AH24" s="42"/>
      <c r="AI24" s="42"/>
      <c r="AJ24" s="796">
        <v>1201.58</v>
      </c>
      <c r="AK24" s="278">
        <v>1201.58</v>
      </c>
      <c r="AL24" s="586">
        <f t="shared" si="66"/>
        <v>63.241052631578945</v>
      </c>
      <c r="AM24" s="8">
        <f t="shared" si="67"/>
        <v>63.241052631578945</v>
      </c>
      <c r="AN24" s="35">
        <v>5.65</v>
      </c>
      <c r="AO24" s="35">
        <v>5.65</v>
      </c>
      <c r="AP24" s="35">
        <v>357.37715014736841</v>
      </c>
      <c r="AQ24" s="38">
        <v>0</v>
      </c>
      <c r="AR24" s="54">
        <f>13/AD24</f>
        <v>0.68421052631578949</v>
      </c>
      <c r="AS24" s="54">
        <f>5/AD24</f>
        <v>0.26315789473684209</v>
      </c>
      <c r="AT24" s="54">
        <f>2/AD24</f>
        <v>0.10526315789473684</v>
      </c>
      <c r="AU24" s="54">
        <v>0</v>
      </c>
      <c r="AV24" s="762"/>
      <c r="AW24" s="52" t="s">
        <v>235</v>
      </c>
      <c r="AX24" s="54"/>
      <c r="AY24" s="38">
        <v>2</v>
      </c>
      <c r="AZ24" s="34" t="s">
        <v>398</v>
      </c>
      <c r="BA24" s="15" t="s">
        <v>99</v>
      </c>
      <c r="BB24" s="32"/>
      <c r="BC24" s="32"/>
      <c r="BD24" s="32"/>
      <c r="BE24" s="32"/>
      <c r="BF24" s="215">
        <v>42031</v>
      </c>
      <c r="BG24" s="215"/>
      <c r="BH24" s="32"/>
      <c r="BI24" s="32"/>
      <c r="BJ24" s="660">
        <v>42093</v>
      </c>
      <c r="BK24" s="660">
        <v>42248</v>
      </c>
      <c r="BL24" s="661"/>
      <c r="BM24" s="659">
        <f t="shared" si="68"/>
        <v>5.166666666666667</v>
      </c>
      <c r="BN24" s="578"/>
      <c r="BO24" s="109">
        <v>42548</v>
      </c>
      <c r="BP24" s="138">
        <v>42559</v>
      </c>
      <c r="BQ24" s="654">
        <f t="shared" si="125"/>
        <v>0.36666666666666664</v>
      </c>
      <c r="BR24" s="638">
        <v>52069</v>
      </c>
      <c r="BS24" s="112" t="s">
        <v>294</v>
      </c>
      <c r="BT24" s="110"/>
      <c r="BU24" s="202">
        <v>42675</v>
      </c>
      <c r="BV24" s="201">
        <f t="shared" si="69"/>
        <v>43405</v>
      </c>
      <c r="BW24" s="439">
        <f>7745+28940</f>
        <v>36685</v>
      </c>
      <c r="BX24" s="201" t="str">
        <f t="shared" si="104"/>
        <v>oui</v>
      </c>
      <c r="BY24" s="557">
        <f t="shared" si="105"/>
        <v>-7.6333333333333337</v>
      </c>
      <c r="BZ24" s="439" t="str">
        <f t="shared" si="106"/>
        <v>0</v>
      </c>
      <c r="CA24" s="439">
        <f t="shared" si="107"/>
        <v>36685</v>
      </c>
      <c r="CB24" s="81"/>
      <c r="CC24" s="81"/>
      <c r="CD24" s="81"/>
      <c r="CE24" s="326" t="str">
        <f t="shared" si="70"/>
        <v>0</v>
      </c>
      <c r="CF24" s="81"/>
      <c r="CG24" s="81"/>
      <c r="CH24" s="326" t="str">
        <f t="shared" si="71"/>
        <v>0</v>
      </c>
      <c r="CI24" s="81"/>
      <c r="CJ24" s="81"/>
      <c r="CK24" s="326" t="str">
        <f t="shared" si="72"/>
        <v>0</v>
      </c>
      <c r="CL24" s="81"/>
      <c r="CM24" s="81"/>
      <c r="CN24" s="326" t="str">
        <f t="shared" si="73"/>
        <v>0</v>
      </c>
      <c r="CO24" s="81"/>
      <c r="CP24" s="81"/>
      <c r="CQ24" s="326" t="str">
        <f t="shared" si="74"/>
        <v>0</v>
      </c>
      <c r="CR24" s="290"/>
      <c r="CS24" s="81"/>
      <c r="CT24" s="81"/>
      <c r="CU24" s="81"/>
      <c r="CV24" s="326"/>
      <c r="CW24" s="81"/>
      <c r="CX24" s="282">
        <v>42947</v>
      </c>
      <c r="CY24" s="232">
        <v>2017</v>
      </c>
      <c r="CZ24" s="286">
        <f t="shared" si="75"/>
        <v>23.3</v>
      </c>
      <c r="DA24" s="326" t="str">
        <f t="shared" si="76"/>
        <v>0</v>
      </c>
      <c r="DB24" s="179">
        <v>15</v>
      </c>
      <c r="DC24" s="76">
        <f t="shared" si="77"/>
        <v>22</v>
      </c>
      <c r="DD24" s="81">
        <v>43059</v>
      </c>
      <c r="DE24" s="81">
        <v>43081</v>
      </c>
      <c r="DF24" s="326">
        <f t="shared" si="78"/>
        <v>22</v>
      </c>
      <c r="DG24" s="750">
        <v>43059</v>
      </c>
      <c r="DH24" s="363">
        <v>43144</v>
      </c>
      <c r="DI24" s="329">
        <f t="shared" si="79"/>
        <v>85</v>
      </c>
      <c r="DJ24" s="81">
        <v>43166</v>
      </c>
      <c r="DK24" s="81">
        <v>43264</v>
      </c>
      <c r="DL24" s="326">
        <f t="shared" si="80"/>
        <v>98</v>
      </c>
      <c r="DM24" s="81">
        <v>43209</v>
      </c>
      <c r="DN24" s="81">
        <v>43372</v>
      </c>
      <c r="DO24" s="326">
        <f t="shared" si="81"/>
        <v>163</v>
      </c>
      <c r="DP24" s="81">
        <v>43229</v>
      </c>
      <c r="DQ24" s="81">
        <v>43390</v>
      </c>
      <c r="DR24" s="326">
        <f t="shared" si="82"/>
        <v>161</v>
      </c>
      <c r="DS24" s="81">
        <v>43252</v>
      </c>
      <c r="DT24" s="81">
        <v>43398</v>
      </c>
      <c r="DU24" s="326">
        <f t="shared" si="83"/>
        <v>146</v>
      </c>
      <c r="DV24" s="132">
        <v>43287</v>
      </c>
      <c r="DW24" s="132">
        <v>43465</v>
      </c>
      <c r="DX24" s="598">
        <f t="shared" si="84"/>
        <v>178</v>
      </c>
      <c r="DY24" s="132">
        <v>43252</v>
      </c>
      <c r="DZ24" s="132">
        <v>43252</v>
      </c>
      <c r="EA24" s="132">
        <v>43224</v>
      </c>
      <c r="EB24" s="383">
        <f t="shared" si="85"/>
        <v>43404</v>
      </c>
      <c r="EC24" s="238">
        <v>43623</v>
      </c>
      <c r="ED24" s="501">
        <f t="shared" si="86"/>
        <v>7.3</v>
      </c>
      <c r="EE24" s="620">
        <f ca="1">IF(((EC24-TODAY())/30)&lt;0,0,(EC24-TODAY())/30)</f>
        <v>0</v>
      </c>
      <c r="EF24" s="293">
        <f>DATE(YEAR(DH24)+2,MONTH(DH24),DAY(DH24))</f>
        <v>43874</v>
      </c>
      <c r="EG24" s="75">
        <v>43650</v>
      </c>
      <c r="EH24" s="215">
        <v>43367</v>
      </c>
      <c r="EI24" s="75" t="s">
        <v>740</v>
      </c>
      <c r="EJ24" s="293">
        <v>43621</v>
      </c>
      <c r="EK24" s="626">
        <f t="shared" si="114"/>
        <v>43435</v>
      </c>
      <c r="EL24" s="627">
        <v>43634</v>
      </c>
      <c r="EM24" s="628">
        <v>2019</v>
      </c>
      <c r="EN24" s="629">
        <f t="shared" si="108"/>
        <v>6.6333333333333337</v>
      </c>
      <c r="EO24" s="630">
        <f>84005/12</f>
        <v>7000.416666666667</v>
      </c>
      <c r="EP24" s="631">
        <f t="shared" si="87"/>
        <v>46436.097222222226</v>
      </c>
      <c r="EQ24" s="632"/>
      <c r="ER24" s="353">
        <v>66994</v>
      </c>
      <c r="ES24" s="353">
        <v>1994</v>
      </c>
      <c r="ET24" s="378">
        <f>97642*1.021</f>
        <v>99692.481999999989</v>
      </c>
      <c r="EU24" s="378"/>
      <c r="EV24" s="378">
        <f>1754.94*1.021</f>
        <v>1791.7937399999998</v>
      </c>
      <c r="EW24" s="483">
        <f t="shared" si="118"/>
        <v>1.4752203123018883E-3</v>
      </c>
      <c r="EX24" s="350" t="s">
        <v>16</v>
      </c>
      <c r="EY24" s="362" t="s">
        <v>705</v>
      </c>
      <c r="EZ24" s="540" t="s">
        <v>706</v>
      </c>
      <c r="FA24" s="362" t="s">
        <v>708</v>
      </c>
      <c r="FB24" s="126">
        <f t="shared" si="88"/>
        <v>43874</v>
      </c>
      <c r="FC24" s="82" t="s">
        <v>379</v>
      </c>
      <c r="FD24" s="214">
        <v>43731</v>
      </c>
      <c r="FE24" s="82"/>
      <c r="FF24" s="82"/>
      <c r="FG24" s="214">
        <v>43782</v>
      </c>
      <c r="FH24" s="32" t="s">
        <v>888</v>
      </c>
      <c r="FI24" s="194">
        <f t="shared" si="89"/>
        <v>43989</v>
      </c>
      <c r="FJ24" s="194"/>
      <c r="FK24" s="32"/>
      <c r="FL24" s="215">
        <v>43797</v>
      </c>
      <c r="FM24" s="215">
        <v>43853</v>
      </c>
      <c r="FN24" s="32"/>
      <c r="FO24" s="32"/>
      <c r="FP24" s="32"/>
      <c r="FQ24" s="32"/>
      <c r="FR24" s="32"/>
      <c r="FS24" s="126"/>
      <c r="FT24" s="215">
        <v>43740</v>
      </c>
      <c r="FU24" s="32"/>
      <c r="FV24" s="32"/>
      <c r="FW24" s="32"/>
      <c r="FX24" s="529"/>
      <c r="FY24" s="652">
        <f t="shared" si="90"/>
        <v>1214594</v>
      </c>
      <c r="FZ24" s="550">
        <f>GE24+GH24+GL24+GM24+GP24+GQ24+GR24</f>
        <v>1214594</v>
      </c>
      <c r="GA24" s="500">
        <f t="shared" si="109"/>
        <v>1214594</v>
      </c>
      <c r="GB24" s="610">
        <f>GM24+GN24+GR24+GQ24+GV24+GX24</f>
        <v>823453</v>
      </c>
      <c r="GC24" s="28">
        <f t="shared" si="92"/>
        <v>1010.8307395262905</v>
      </c>
      <c r="GD24" s="28">
        <f t="shared" si="93"/>
        <v>63926</v>
      </c>
      <c r="GE24" s="9">
        <v>771141</v>
      </c>
      <c r="GF24" s="417"/>
      <c r="GG24" s="16">
        <f t="shared" si="110"/>
        <v>40586.368421052633</v>
      </c>
      <c r="GH24" s="9">
        <f>SUBTOTAL(9,GI24:GJ24)</f>
        <v>0</v>
      </c>
      <c r="GI24" s="10">
        <v>334066</v>
      </c>
      <c r="GJ24" s="10">
        <v>1025256</v>
      </c>
      <c r="GK24" s="407">
        <f t="shared" si="94"/>
        <v>0</v>
      </c>
      <c r="GL24" s="9"/>
      <c r="GM24" s="9">
        <v>420000</v>
      </c>
      <c r="GN24" s="45"/>
      <c r="GO24" s="23">
        <f t="shared" si="95"/>
        <v>0.34579456180419138</v>
      </c>
      <c r="GP24" s="45"/>
      <c r="GQ24" s="45"/>
      <c r="GR24" s="9">
        <v>23453</v>
      </c>
      <c r="GS24" s="28">
        <f t="shared" si="96"/>
        <v>22105.263157894737</v>
      </c>
      <c r="GT24" s="56">
        <f t="shared" si="97"/>
        <v>62691.631578947367</v>
      </c>
      <c r="GU24" s="680">
        <v>510850.13361374999</v>
      </c>
      <c r="GV24" s="680">
        <v>380000</v>
      </c>
      <c r="GW24" s="680">
        <f t="shared" si="126"/>
        <v>82691.631578947374</v>
      </c>
      <c r="GX24" s="680">
        <v>0</v>
      </c>
      <c r="GY24" s="680">
        <f t="shared" si="98"/>
        <v>82691.631578947374</v>
      </c>
      <c r="GZ24" s="681">
        <f t="shared" si="111"/>
        <v>0.97350933204148948</v>
      </c>
      <c r="HA24" s="680">
        <v>111550</v>
      </c>
      <c r="HB24" s="680"/>
      <c r="HC24" s="9"/>
      <c r="HD24" s="610">
        <f>2015988.53+416919</f>
        <v>2432907.5300000003</v>
      </c>
      <c r="HE24" s="608">
        <f t="shared" si="99"/>
        <v>2.0030623648725419</v>
      </c>
      <c r="HF24" s="616">
        <f t="shared" si="100"/>
        <v>-1218313.5300000003</v>
      </c>
      <c r="HG24" s="602">
        <f t="shared" ca="1" si="101"/>
        <v>-1218313.5300000003</v>
      </c>
      <c r="HH24" s="608">
        <f ca="1">(HG24+HD24)/FZ24</f>
        <v>1</v>
      </c>
      <c r="HI24" s="602">
        <f>'[1]GLOBAL OPERATION'!$AG$86</f>
        <v>0</v>
      </c>
      <c r="HJ24" s="602">
        <f t="shared" si="117"/>
        <v>823453</v>
      </c>
      <c r="HK24" s="608">
        <f t="shared" si="112"/>
        <v>0</v>
      </c>
      <c r="HL24" s="608"/>
      <c r="HM24" s="673"/>
      <c r="HN24" s="62"/>
      <c r="HO24" s="673"/>
      <c r="HP24" s="673">
        <f t="shared" si="102"/>
        <v>0</v>
      </c>
      <c r="HQ24" s="539"/>
      <c r="HR24" s="539"/>
      <c r="HS24" s="539"/>
      <c r="HT24" s="539"/>
      <c r="HU24" s="539"/>
      <c r="HV24" s="673"/>
      <c r="HW24" s="673"/>
      <c r="HX24" s="539"/>
    </row>
    <row r="25" spans="1:232" ht="20.100000000000001" hidden="1" customHeight="1">
      <c r="A25" s="816" t="s">
        <v>458</v>
      </c>
      <c r="B25" s="6" t="s">
        <v>31</v>
      </c>
      <c r="C25" s="6" t="s">
        <v>90</v>
      </c>
      <c r="D25" s="6">
        <v>2016</v>
      </c>
      <c r="E25" s="6" t="s">
        <v>225</v>
      </c>
      <c r="F25" s="6" t="s">
        <v>16</v>
      </c>
      <c r="G25" s="6" t="s">
        <v>143</v>
      </c>
      <c r="H25" s="6" t="s">
        <v>137</v>
      </c>
      <c r="I25" s="31"/>
      <c r="J25" s="31" t="s">
        <v>257</v>
      </c>
      <c r="K25" s="180" t="s">
        <v>424</v>
      </c>
      <c r="L25" s="111"/>
      <c r="M25" s="67"/>
      <c r="N25" s="68"/>
      <c r="O25" s="142">
        <v>8111</v>
      </c>
      <c r="P25" s="142">
        <v>405550</v>
      </c>
      <c r="Q25" s="142">
        <v>405550</v>
      </c>
      <c r="R25" s="142">
        <f t="shared" si="119"/>
        <v>11587.142857142857</v>
      </c>
      <c r="S25" s="142">
        <f t="shared" si="120"/>
        <v>50</v>
      </c>
      <c r="T25" s="148">
        <f t="shared" si="121"/>
        <v>50</v>
      </c>
      <c r="U25" s="148">
        <f t="shared" si="122"/>
        <v>175.00668870342719</v>
      </c>
      <c r="V25" s="148">
        <f t="shared" si="123"/>
        <v>11587.142857142857</v>
      </c>
      <c r="W25" s="142">
        <f t="shared" si="124"/>
        <v>231.74285714285713</v>
      </c>
      <c r="X25" s="143"/>
      <c r="Y25" s="525">
        <f t="shared" si="63"/>
        <v>43.151276044877328</v>
      </c>
      <c r="Z25" s="143" t="s">
        <v>723</v>
      </c>
      <c r="AA25" s="145">
        <v>450</v>
      </c>
      <c r="AB25" s="146"/>
      <c r="AC25" s="6" t="s">
        <v>10</v>
      </c>
      <c r="AD25" s="493">
        <f t="shared" si="64"/>
        <v>35</v>
      </c>
      <c r="AE25" s="493">
        <f t="shared" si="65"/>
        <v>35</v>
      </c>
      <c r="AF25" s="7"/>
      <c r="AG25" s="6">
        <v>35</v>
      </c>
      <c r="AH25" s="42"/>
      <c r="AI25" s="42"/>
      <c r="AJ25" s="796">
        <v>2317.34</v>
      </c>
      <c r="AK25" s="278">
        <v>2317.34</v>
      </c>
      <c r="AL25" s="586">
        <f t="shared" si="66"/>
        <v>66.209714285714284</v>
      </c>
      <c r="AM25" s="8">
        <f t="shared" si="67"/>
        <v>66.209714285714284</v>
      </c>
      <c r="AN25" s="35">
        <v>5.64</v>
      </c>
      <c r="AO25" s="35">
        <v>5.57</v>
      </c>
      <c r="AP25" s="35">
        <v>368.79</v>
      </c>
      <c r="AQ25" s="53">
        <f>8/AD25</f>
        <v>0.22857142857142856</v>
      </c>
      <c r="AR25" s="53">
        <f>8/AD25</f>
        <v>0.22857142857142856</v>
      </c>
      <c r="AS25" s="53">
        <f>8/AD25</f>
        <v>0.22857142857142856</v>
      </c>
      <c r="AT25" s="53">
        <f>11/AD25</f>
        <v>0.31428571428571428</v>
      </c>
      <c r="AU25" s="53"/>
      <c r="AV25" s="8"/>
      <c r="AW25" s="51"/>
      <c r="AX25" s="53"/>
      <c r="AY25" s="35"/>
      <c r="AZ25" s="34" t="s">
        <v>398</v>
      </c>
      <c r="BA25" s="6" t="s">
        <v>99</v>
      </c>
      <c r="BB25" s="31"/>
      <c r="BC25" s="31"/>
      <c r="BD25" s="31"/>
      <c r="BE25" s="31"/>
      <c r="BF25" s="164">
        <v>42396</v>
      </c>
      <c r="BG25" s="164"/>
      <c r="BH25" s="164">
        <v>42475</v>
      </c>
      <c r="BI25" s="164"/>
      <c r="BJ25" s="660">
        <v>42459</v>
      </c>
      <c r="BK25" s="660">
        <v>42660</v>
      </c>
      <c r="BL25" s="661"/>
      <c r="BM25" s="659">
        <f t="shared" si="68"/>
        <v>6.7</v>
      </c>
      <c r="BN25" s="578" t="s">
        <v>235</v>
      </c>
      <c r="BO25" s="109">
        <v>42886</v>
      </c>
      <c r="BP25" s="138">
        <v>42929</v>
      </c>
      <c r="BQ25" s="655">
        <f t="shared" si="125"/>
        <v>1.4333333333333333</v>
      </c>
      <c r="BR25" s="638">
        <v>66467</v>
      </c>
      <c r="BS25" s="110">
        <v>43013</v>
      </c>
      <c r="BT25" s="110">
        <v>42957</v>
      </c>
      <c r="BU25" s="202">
        <v>43040</v>
      </c>
      <c r="BV25" s="201">
        <f t="shared" si="69"/>
        <v>43770</v>
      </c>
      <c r="BW25" s="439">
        <f>103063+17127</f>
        <v>120190</v>
      </c>
      <c r="BX25" s="201" t="str">
        <f t="shared" si="104"/>
        <v>non</v>
      </c>
      <c r="BY25" s="557">
        <f t="shared" si="105"/>
        <v>1.2666666666666666</v>
      </c>
      <c r="BZ25" s="439">
        <f t="shared" si="106"/>
        <v>16842.866666666665</v>
      </c>
      <c r="CA25" s="439">
        <f t="shared" si="107"/>
        <v>103347.13333333333</v>
      </c>
      <c r="CB25" s="81">
        <v>42296</v>
      </c>
      <c r="CC25" s="81">
        <v>42307</v>
      </c>
      <c r="CD25" s="81">
        <v>42296</v>
      </c>
      <c r="CE25" s="326">
        <f t="shared" si="70"/>
        <v>-11</v>
      </c>
      <c r="CF25" s="81">
        <v>42412</v>
      </c>
      <c r="CG25" s="81">
        <v>42412</v>
      </c>
      <c r="CH25" s="326">
        <f t="shared" si="71"/>
        <v>0</v>
      </c>
      <c r="CI25" s="81">
        <v>42458</v>
      </c>
      <c r="CJ25" s="81">
        <v>42593</v>
      </c>
      <c r="CK25" s="326">
        <f t="shared" si="72"/>
        <v>135</v>
      </c>
      <c r="CL25" s="81">
        <v>42655</v>
      </c>
      <c r="CM25" s="81">
        <v>42683</v>
      </c>
      <c r="CN25" s="326">
        <f t="shared" si="73"/>
        <v>28</v>
      </c>
      <c r="CO25" s="81">
        <v>42779</v>
      </c>
      <c r="CP25" s="81">
        <v>42892</v>
      </c>
      <c r="CQ25" s="326">
        <f t="shared" si="74"/>
        <v>113</v>
      </c>
      <c r="CR25" s="290"/>
      <c r="CS25" s="81">
        <v>43123</v>
      </c>
      <c r="CT25" s="214">
        <v>43140</v>
      </c>
      <c r="CU25" s="81">
        <v>43160</v>
      </c>
      <c r="CV25" s="347">
        <f>IF(AND(CT25&gt;0,CU25&gt;0),CU25-CT25,"0")</f>
        <v>20</v>
      </c>
      <c r="CW25" s="163">
        <v>43154</v>
      </c>
      <c r="CX25" s="282">
        <v>43164</v>
      </c>
      <c r="CY25" s="283">
        <v>2018</v>
      </c>
      <c r="CZ25" s="288">
        <f t="shared" si="75"/>
        <v>16.8</v>
      </c>
      <c r="DA25" s="326">
        <f t="shared" si="76"/>
        <v>10</v>
      </c>
      <c r="DB25" s="179">
        <v>14</v>
      </c>
      <c r="DC25" s="76">
        <f t="shared" si="77"/>
        <v>18</v>
      </c>
      <c r="DD25" s="214">
        <v>43263</v>
      </c>
      <c r="DE25" s="214">
        <v>43292</v>
      </c>
      <c r="DF25" s="448">
        <f t="shared" si="78"/>
        <v>29</v>
      </c>
      <c r="DG25" s="459">
        <v>43287</v>
      </c>
      <c r="DH25" s="395">
        <v>43355</v>
      </c>
      <c r="DI25" s="329">
        <f t="shared" si="79"/>
        <v>68</v>
      </c>
      <c r="DJ25" s="132">
        <v>43374</v>
      </c>
      <c r="DK25" s="163">
        <v>43449</v>
      </c>
      <c r="DL25" s="597">
        <f t="shared" si="80"/>
        <v>75</v>
      </c>
      <c r="DM25" s="132">
        <v>43517</v>
      </c>
      <c r="DN25" s="132">
        <v>43622</v>
      </c>
      <c r="DO25" s="597">
        <f t="shared" si="81"/>
        <v>105</v>
      </c>
      <c r="DP25" s="424">
        <v>43517</v>
      </c>
      <c r="DQ25" s="335">
        <f ca="1">IF(DP25&lt;TODAY(),TODAY(),DP25)</f>
        <v>43950</v>
      </c>
      <c r="DR25" s="332">
        <f t="shared" ca="1" si="82"/>
        <v>433</v>
      </c>
      <c r="DS25" s="360">
        <v>43528</v>
      </c>
      <c r="DT25" s="335">
        <f ca="1">IF(DS25&lt;TODAY(),TODAY(),DS25)</f>
        <v>43950</v>
      </c>
      <c r="DU25" s="332">
        <f t="shared" ca="1" si="83"/>
        <v>422</v>
      </c>
      <c r="DV25" s="335">
        <v>43593</v>
      </c>
      <c r="DW25" s="335">
        <f ca="1">IF(DV25&lt;TODAY(),TODAY(),DV25)</f>
        <v>43950</v>
      </c>
      <c r="DX25" s="332">
        <f t="shared" ca="1" si="84"/>
        <v>357</v>
      </c>
      <c r="DY25" s="335">
        <v>43542</v>
      </c>
      <c r="DZ25" s="335">
        <v>43542</v>
      </c>
      <c r="EA25" s="335">
        <v>43546</v>
      </c>
      <c r="EB25" s="383">
        <f t="shared" si="85"/>
        <v>43590</v>
      </c>
      <c r="EC25" s="238">
        <v>43732</v>
      </c>
      <c r="ED25" s="468">
        <f t="shared" si="86"/>
        <v>4.7333333333333334</v>
      </c>
      <c r="EE25" s="620">
        <f ca="1">IF(((EC25-TODAY())/30)&lt;0,0,(EC25-TODAY())/30)</f>
        <v>0</v>
      </c>
      <c r="EF25" s="293">
        <f>DATE(YEAR(DH25)+2,MONTH(DH25),DAY(DH25))</f>
        <v>44086</v>
      </c>
      <c r="EG25" s="75">
        <v>43749</v>
      </c>
      <c r="EH25" s="215">
        <v>43348</v>
      </c>
      <c r="EI25" s="75">
        <v>43720</v>
      </c>
      <c r="EJ25" s="760"/>
      <c r="EK25" s="533">
        <f t="shared" si="114"/>
        <v>43621</v>
      </c>
      <c r="EL25" s="238">
        <v>43732</v>
      </c>
      <c r="EM25" s="283">
        <v>2019</v>
      </c>
      <c r="EN25" s="497">
        <f t="shared" si="108"/>
        <v>3.7</v>
      </c>
      <c r="EO25" s="462">
        <v>13297</v>
      </c>
      <c r="EP25" s="38">
        <f t="shared" si="87"/>
        <v>49198.9</v>
      </c>
      <c r="EQ25" s="77">
        <v>43713</v>
      </c>
      <c r="ER25" s="353">
        <v>0</v>
      </c>
      <c r="ES25" s="353">
        <v>0</v>
      </c>
      <c r="ET25" s="353">
        <f>122000*1.021</f>
        <v>124561.99999999999</v>
      </c>
      <c r="EU25" s="353"/>
      <c r="EV25" s="353">
        <v>0</v>
      </c>
      <c r="EW25" s="483">
        <f t="shared" si="118"/>
        <v>0</v>
      </c>
      <c r="EX25" s="350"/>
      <c r="EY25" s="362"/>
      <c r="EZ25" s="540" t="s">
        <v>683</v>
      </c>
      <c r="FA25" s="362" t="s">
        <v>825</v>
      </c>
      <c r="FB25" s="73">
        <f t="shared" si="88"/>
        <v>44086</v>
      </c>
      <c r="FC25" s="80"/>
      <c r="FD25" s="163" t="s">
        <v>893</v>
      </c>
      <c r="FE25" s="80"/>
      <c r="FF25" s="80"/>
      <c r="FG25" s="81">
        <v>43874</v>
      </c>
      <c r="FH25" s="755" t="s">
        <v>895</v>
      </c>
      <c r="FI25" s="194">
        <f t="shared" si="89"/>
        <v>44098</v>
      </c>
      <c r="FJ25" s="194"/>
      <c r="FK25" s="31"/>
      <c r="FL25" s="73">
        <v>43816</v>
      </c>
      <c r="FM25" s="73">
        <v>43850</v>
      </c>
      <c r="FN25" s="74"/>
      <c r="FO25" s="74"/>
      <c r="FP25" s="74"/>
      <c r="FQ25" s="74"/>
      <c r="FR25" s="74"/>
      <c r="FS25" s="74"/>
      <c r="FT25" s="74"/>
      <c r="FU25" s="31"/>
      <c r="FV25" s="31"/>
      <c r="FW25" s="31"/>
      <c r="FX25" s="529"/>
      <c r="FY25" s="652">
        <f t="shared" si="90"/>
        <v>5373790.1865710132</v>
      </c>
      <c r="FZ25" s="550">
        <f>GE25+GH25+GM25+HC25+GL25+GR25+GP25+GQ25</f>
        <v>5373790.1865710132</v>
      </c>
      <c r="GA25" s="500">
        <f t="shared" si="109"/>
        <v>5373790.1865710132</v>
      </c>
      <c r="GB25" s="610">
        <f>GM25+GN25+GR25+GQ25+GV25+GX25</f>
        <v>1043780</v>
      </c>
      <c r="GC25" s="28">
        <f t="shared" si="92"/>
        <v>2318.9476669677356</v>
      </c>
      <c r="GD25" s="28">
        <f t="shared" si="93"/>
        <v>153536.86247345753</v>
      </c>
      <c r="GE25" s="9">
        <v>1569551.1865710132</v>
      </c>
      <c r="GF25" s="417">
        <v>1629529</v>
      </c>
      <c r="GG25" s="16">
        <f t="shared" si="110"/>
        <v>44844.319616314664</v>
      </c>
      <c r="GH25" s="818">
        <f>GI25+GJ25</f>
        <v>2760459</v>
      </c>
      <c r="GI25" s="819">
        <v>738771</v>
      </c>
      <c r="GJ25" s="819">
        <v>2021688</v>
      </c>
      <c r="GK25" s="407">
        <f t="shared" si="94"/>
        <v>78870.257142857139</v>
      </c>
      <c r="GL25" s="9"/>
      <c r="GM25" s="9">
        <v>945000</v>
      </c>
      <c r="GN25" s="45"/>
      <c r="GO25" s="23">
        <f t="shared" si="95"/>
        <v>0.175853534877773</v>
      </c>
      <c r="GP25" s="60"/>
      <c r="GQ25" s="60"/>
      <c r="GR25" s="9">
        <v>98780</v>
      </c>
      <c r="GS25" s="28">
        <f t="shared" si="96"/>
        <v>27000</v>
      </c>
      <c r="GT25" s="28">
        <f t="shared" si="97"/>
        <v>71844.319616314664</v>
      </c>
      <c r="GU25" s="680"/>
      <c r="GV25" s="680"/>
      <c r="GW25" s="680">
        <f t="shared" si="126"/>
        <v>71844.319616314664</v>
      </c>
      <c r="GX25" s="680"/>
      <c r="GY25" s="680">
        <f t="shared" si="98"/>
        <v>71844.319616314664</v>
      </c>
      <c r="GZ25" s="681">
        <f t="shared" si="111"/>
        <v>0.46792879871916526</v>
      </c>
      <c r="HA25" s="680"/>
      <c r="HB25" s="680"/>
      <c r="HC25" s="9">
        <f>ES25</f>
        <v>0</v>
      </c>
      <c r="HD25" s="610">
        <v>3536127.0096999984</v>
      </c>
      <c r="HE25" s="608">
        <f t="shared" si="99"/>
        <v>0.65803220574869192</v>
      </c>
      <c r="HF25" s="616">
        <f t="shared" si="100"/>
        <v>1837663.1768710148</v>
      </c>
      <c r="HG25" s="602">
        <f t="shared" ca="1" si="101"/>
        <v>1837663.1768710148</v>
      </c>
      <c r="HH25" s="608">
        <f ca="1">(HG25+HD25)/FZ25</f>
        <v>1</v>
      </c>
      <c r="HI25" s="602">
        <f>'[1]GLOBAL OPERATION'!$AG$74</f>
        <v>8804812.7300000004</v>
      </c>
      <c r="HJ25" s="602">
        <f t="shared" si="117"/>
        <v>-7761032.7300000004</v>
      </c>
      <c r="HK25" s="608">
        <f t="shared" si="112"/>
        <v>8.4355062656881721</v>
      </c>
      <c r="HL25" s="608"/>
      <c r="HM25" s="673"/>
      <c r="HN25" s="62"/>
      <c r="HO25" s="673"/>
      <c r="HP25" s="673">
        <f t="shared" si="102"/>
        <v>0</v>
      </c>
      <c r="HQ25" s="539"/>
      <c r="HR25" s="539"/>
      <c r="HS25" s="539"/>
      <c r="HT25" s="539"/>
      <c r="HU25" s="539"/>
      <c r="HV25" s="673"/>
      <c r="HW25" s="673"/>
      <c r="HX25" s="539"/>
    </row>
    <row r="26" spans="1:232" ht="20.100000000000001" hidden="1" customHeight="1">
      <c r="A26" s="767" t="s">
        <v>607</v>
      </c>
      <c r="B26" s="6" t="s">
        <v>21</v>
      </c>
      <c r="C26" s="6" t="s">
        <v>90</v>
      </c>
      <c r="D26" s="6">
        <v>2013</v>
      </c>
      <c r="E26" s="6" t="s">
        <v>24</v>
      </c>
      <c r="F26" s="6" t="s">
        <v>40</v>
      </c>
      <c r="G26" s="490" t="s">
        <v>606</v>
      </c>
      <c r="H26" s="6" t="s">
        <v>187</v>
      </c>
      <c r="I26" s="31"/>
      <c r="J26" s="31"/>
      <c r="K26" s="180"/>
      <c r="L26" s="277" t="s">
        <v>46</v>
      </c>
      <c r="M26" s="277" t="s">
        <v>48</v>
      </c>
      <c r="N26" s="777">
        <v>41619</v>
      </c>
      <c r="O26" s="142">
        <v>5146</v>
      </c>
      <c r="P26" s="142">
        <f>Q26</f>
        <v>1069200</v>
      </c>
      <c r="Q26" s="142">
        <v>1069200</v>
      </c>
      <c r="R26" s="142">
        <f t="shared" si="119"/>
        <v>19800</v>
      </c>
      <c r="S26" s="142">
        <f t="shared" si="120"/>
        <v>207.77302759424796</v>
      </c>
      <c r="T26" s="142">
        <f t="shared" si="121"/>
        <v>207.77302759424796</v>
      </c>
      <c r="U26" s="142">
        <f t="shared" si="122"/>
        <v>233.10530125478914</v>
      </c>
      <c r="V26" s="142">
        <f t="shared" si="123"/>
        <v>19800</v>
      </c>
      <c r="W26" s="142">
        <f t="shared" si="124"/>
        <v>95.296296296296291</v>
      </c>
      <c r="X26" s="143">
        <v>2205.9499999999998</v>
      </c>
      <c r="Y26" s="522">
        <f t="shared" si="63"/>
        <v>104.93587252234745</v>
      </c>
      <c r="Z26" s="143" t="s">
        <v>153</v>
      </c>
      <c r="AA26" s="145">
        <v>570</v>
      </c>
      <c r="AB26" s="146">
        <v>0.15</v>
      </c>
      <c r="AC26" s="6" t="s">
        <v>9</v>
      </c>
      <c r="AD26" s="493">
        <f t="shared" si="64"/>
        <v>54</v>
      </c>
      <c r="AE26" s="493">
        <f t="shared" si="65"/>
        <v>54</v>
      </c>
      <c r="AF26" s="6">
        <v>54</v>
      </c>
      <c r="AG26" s="7"/>
      <c r="AH26" s="42"/>
      <c r="AI26" s="42"/>
      <c r="AJ26" s="796">
        <v>3955.3599999999983</v>
      </c>
      <c r="AK26" s="278">
        <v>4586.7682727272741</v>
      </c>
      <c r="AL26" s="586">
        <f t="shared" si="66"/>
        <v>73.24740740740738</v>
      </c>
      <c r="AM26" s="8">
        <f t="shared" si="67"/>
        <v>84.940153198653221</v>
      </c>
      <c r="AN26" s="35">
        <v>7.36</v>
      </c>
      <c r="AO26" s="35">
        <v>6.35</v>
      </c>
      <c r="AP26" s="35">
        <v>539.26</v>
      </c>
      <c r="AQ26" s="37"/>
      <c r="AR26" s="37"/>
      <c r="AS26" s="37"/>
      <c r="AT26" s="37"/>
      <c r="AU26" s="37"/>
      <c r="AV26" s="8"/>
      <c r="AW26" s="51">
        <v>0</v>
      </c>
      <c r="AX26" s="53">
        <f>AW26/O26</f>
        <v>0</v>
      </c>
      <c r="AY26" s="41" t="s">
        <v>154</v>
      </c>
      <c r="AZ26" s="34" t="s">
        <v>398</v>
      </c>
      <c r="BA26" s="6" t="s">
        <v>98</v>
      </c>
      <c r="BB26" s="31"/>
      <c r="BC26" s="31"/>
      <c r="BD26" s="31"/>
      <c r="BE26" s="31"/>
      <c r="BF26" s="73">
        <v>41233</v>
      </c>
      <c r="BG26" s="73"/>
      <c r="BH26" s="73">
        <v>41348</v>
      </c>
      <c r="BI26" s="73"/>
      <c r="BJ26" s="660">
        <v>41363</v>
      </c>
      <c r="BK26" s="660">
        <v>41466</v>
      </c>
      <c r="BL26" s="661"/>
      <c r="BM26" s="659">
        <f t="shared" si="68"/>
        <v>3.4333333333333331</v>
      </c>
      <c r="BN26" s="578"/>
      <c r="BO26" s="109">
        <v>41550</v>
      </c>
      <c r="BP26" s="138">
        <v>41576</v>
      </c>
      <c r="BQ26" s="655">
        <f t="shared" si="125"/>
        <v>0.8666666666666667</v>
      </c>
      <c r="BR26" s="139"/>
      <c r="BS26" s="110">
        <f>DATE(YEAR(BP26),MONTH(BP26)+3,DAY(BP26))</f>
        <v>41668</v>
      </c>
      <c r="BT26" s="110"/>
      <c r="BU26" s="202">
        <v>41671</v>
      </c>
      <c r="BV26" s="201">
        <f t="shared" si="69"/>
        <v>42401</v>
      </c>
      <c r="BW26" s="439">
        <f>169432+39625</f>
        <v>209057</v>
      </c>
      <c r="BX26" s="201" t="str">
        <f t="shared" si="104"/>
        <v>oui</v>
      </c>
      <c r="BY26" s="557">
        <f t="shared" si="105"/>
        <v>-22.666666666666668</v>
      </c>
      <c r="BZ26" s="439" t="str">
        <f t="shared" si="106"/>
        <v>0</v>
      </c>
      <c r="CA26" s="439">
        <f t="shared" si="107"/>
        <v>209057</v>
      </c>
      <c r="CB26" s="81"/>
      <c r="CC26" s="81"/>
      <c r="CD26" s="81"/>
      <c r="CE26" s="326" t="str">
        <f t="shared" si="70"/>
        <v>0</v>
      </c>
      <c r="CF26" s="81"/>
      <c r="CG26" s="81"/>
      <c r="CH26" s="326" t="str">
        <f t="shared" si="71"/>
        <v>0</v>
      </c>
      <c r="CI26" s="81"/>
      <c r="CJ26" s="81"/>
      <c r="CK26" s="326" t="str">
        <f t="shared" si="72"/>
        <v>0</v>
      </c>
      <c r="CL26" s="81"/>
      <c r="CM26" s="81"/>
      <c r="CN26" s="326" t="str">
        <f t="shared" si="73"/>
        <v>0</v>
      </c>
      <c r="CO26" s="83"/>
      <c r="CP26" s="365"/>
      <c r="CQ26" s="326" t="str">
        <f t="shared" si="74"/>
        <v>0</v>
      </c>
      <c r="CR26" s="53"/>
      <c r="CS26" s="159"/>
      <c r="CT26" s="81"/>
      <c r="CU26" s="159"/>
      <c r="CV26" s="326" t="str">
        <f>IF(AND(CT26&gt;0,CU26&gt;0),CU26-CT26,"0")</f>
        <v>0</v>
      </c>
      <c r="CW26" s="81"/>
      <c r="CX26" s="236">
        <v>41764</v>
      </c>
      <c r="CY26" s="232">
        <v>2014</v>
      </c>
      <c r="CZ26" s="286">
        <f t="shared" si="75"/>
        <v>9.9333333333333336</v>
      </c>
      <c r="DA26" s="326" t="str">
        <f t="shared" si="76"/>
        <v>0</v>
      </c>
      <c r="DB26" s="168">
        <v>15</v>
      </c>
      <c r="DC26" s="76">
        <f t="shared" si="77"/>
        <v>43</v>
      </c>
      <c r="DD26" s="81"/>
      <c r="DE26" s="159"/>
      <c r="DF26" s="326" t="str">
        <f t="shared" si="78"/>
        <v>0</v>
      </c>
      <c r="DG26" s="750"/>
      <c r="DH26" s="363"/>
      <c r="DI26" s="329" t="str">
        <f t="shared" si="79"/>
        <v>0</v>
      </c>
      <c r="DJ26" s="83"/>
      <c r="DK26" s="214"/>
      <c r="DL26" s="326" t="str">
        <f t="shared" si="80"/>
        <v>0</v>
      </c>
      <c r="DM26" s="81"/>
      <c r="DN26" s="81"/>
      <c r="DO26" s="326" t="str">
        <f t="shared" si="81"/>
        <v>0</v>
      </c>
      <c r="DP26" s="81"/>
      <c r="DQ26" s="81"/>
      <c r="DR26" s="326" t="str">
        <f t="shared" si="82"/>
        <v>0</v>
      </c>
      <c r="DS26" s="81"/>
      <c r="DT26" s="81"/>
      <c r="DU26" s="326" t="str">
        <f t="shared" si="83"/>
        <v>0</v>
      </c>
      <c r="DV26" s="81"/>
      <c r="DW26" s="81"/>
      <c r="DX26" s="326" t="str">
        <f t="shared" si="84"/>
        <v>0</v>
      </c>
      <c r="DY26" s="81"/>
      <c r="DZ26" s="81"/>
      <c r="EA26" s="81"/>
      <c r="EB26" s="801">
        <f t="shared" si="85"/>
        <v>42221</v>
      </c>
      <c r="EC26" s="238">
        <v>43076</v>
      </c>
      <c r="ED26" s="468">
        <f t="shared" si="86"/>
        <v>28.5</v>
      </c>
      <c r="EE26" s="620"/>
      <c r="EF26" s="403"/>
      <c r="EG26" s="75">
        <v>43131</v>
      </c>
      <c r="EH26" s="75">
        <v>42527</v>
      </c>
      <c r="EI26" s="75">
        <v>43066</v>
      </c>
      <c r="EJ26" s="293"/>
      <c r="EK26" s="533">
        <f t="shared" si="114"/>
        <v>42252</v>
      </c>
      <c r="EL26" s="238">
        <v>43081</v>
      </c>
      <c r="EM26" s="232">
        <v>2017</v>
      </c>
      <c r="EN26" s="465">
        <f t="shared" si="108"/>
        <v>27.633333333333333</v>
      </c>
      <c r="EO26" s="455">
        <f>366249.787559262/12</f>
        <v>30520.815629938501</v>
      </c>
      <c r="EP26" s="213">
        <f t="shared" si="87"/>
        <v>843391.87190730055</v>
      </c>
      <c r="EQ26" s="214">
        <v>42970</v>
      </c>
      <c r="ER26" s="349">
        <v>0</v>
      </c>
      <c r="ES26" s="454">
        <v>222887</v>
      </c>
      <c r="ET26" s="353"/>
      <c r="EU26" s="353"/>
      <c r="EV26" s="353">
        <f>170334.64*1.021</f>
        <v>173911.66743999999</v>
      </c>
      <c r="EW26" s="483">
        <f t="shared" si="118"/>
        <v>1.666655653230081E-2</v>
      </c>
      <c r="EX26" s="350"/>
      <c r="EY26" s="362" t="s">
        <v>534</v>
      </c>
      <c r="EZ26" s="350"/>
      <c r="FA26" s="350"/>
      <c r="FB26" s="126">
        <f t="shared" si="88"/>
        <v>731</v>
      </c>
      <c r="FC26" s="163" t="s">
        <v>105</v>
      </c>
      <c r="FD26" s="81">
        <v>43166</v>
      </c>
      <c r="FE26" s="80"/>
      <c r="FF26" s="80"/>
      <c r="FG26" s="81">
        <v>43297</v>
      </c>
      <c r="FH26" s="73">
        <v>43767</v>
      </c>
      <c r="FI26" s="214">
        <f t="shared" si="89"/>
        <v>43441</v>
      </c>
      <c r="FJ26" s="443">
        <v>280724</v>
      </c>
      <c r="FK26" s="214">
        <v>43152</v>
      </c>
      <c r="FL26" s="81">
        <v>43186</v>
      </c>
      <c r="FM26" s="81"/>
      <c r="FN26" s="80"/>
      <c r="FO26" s="80"/>
      <c r="FP26" s="81">
        <v>43217</v>
      </c>
      <c r="FQ26" s="31"/>
      <c r="FR26" s="31" t="s">
        <v>867</v>
      </c>
      <c r="FS26" s="126"/>
      <c r="FT26" s="400">
        <v>43287</v>
      </c>
      <c r="FU26" s="74" t="s">
        <v>105</v>
      </c>
      <c r="FV26" s="31"/>
      <c r="FW26" s="31"/>
      <c r="FX26" s="388">
        <v>9099071</v>
      </c>
      <c r="FY26" s="652">
        <f t="shared" si="90"/>
        <v>10434769</v>
      </c>
      <c r="FZ26" s="550">
        <f>GE26+GH26+GM26+HC26+GL26+GR26+GP26+GQ26</f>
        <v>10434769</v>
      </c>
      <c r="GA26" s="500">
        <f t="shared" si="109"/>
        <v>10434769</v>
      </c>
      <c r="GB26" s="610">
        <f>GM26+GN26+GR26</f>
        <v>17351</v>
      </c>
      <c r="GC26" s="28">
        <f t="shared" si="92"/>
        <v>2274.9719147672417</v>
      </c>
      <c r="GD26" s="28">
        <f t="shared" si="93"/>
        <v>193236.46296296295</v>
      </c>
      <c r="GE26" s="9">
        <v>3287400</v>
      </c>
      <c r="GF26" s="417"/>
      <c r="GG26" s="16">
        <f t="shared" si="110"/>
        <v>60877.777777777781</v>
      </c>
      <c r="GH26" s="9">
        <f>+GI26+GJ26</f>
        <v>5918673</v>
      </c>
      <c r="GI26" s="10">
        <v>1256197</v>
      </c>
      <c r="GJ26" s="10">
        <v>4662476</v>
      </c>
      <c r="GK26" s="407">
        <f t="shared" si="94"/>
        <v>109605.05555555556</v>
      </c>
      <c r="GL26" s="9">
        <v>822995</v>
      </c>
      <c r="GM26" s="9">
        <v>1</v>
      </c>
      <c r="GN26" s="45"/>
      <c r="GO26" s="23">
        <f t="shared" si="95"/>
        <v>9.5833458316135224E-8</v>
      </c>
      <c r="GP26" s="45">
        <v>0</v>
      </c>
      <c r="GQ26" s="45"/>
      <c r="GR26" s="9">
        <v>17350</v>
      </c>
      <c r="GS26" s="28">
        <f t="shared" si="96"/>
        <v>1.8518518518518517E-2</v>
      </c>
      <c r="GT26" s="28">
        <f t="shared" si="97"/>
        <v>60877.796296296299</v>
      </c>
      <c r="GU26" s="680"/>
      <c r="GV26" s="680"/>
      <c r="GW26" s="680">
        <f t="shared" si="126"/>
        <v>60877.796296296299</v>
      </c>
      <c r="GX26" s="680">
        <v>0</v>
      </c>
      <c r="GY26" s="680">
        <f t="shared" si="98"/>
        <v>60877.796296296299</v>
      </c>
      <c r="GZ26" s="681">
        <f t="shared" si="111"/>
        <v>0.31504300670192126</v>
      </c>
      <c r="HA26" s="680"/>
      <c r="HB26" s="680"/>
      <c r="HC26" s="9">
        <v>388350</v>
      </c>
      <c r="HD26" s="602"/>
      <c r="HE26" s="608">
        <f t="shared" si="99"/>
        <v>0</v>
      </c>
      <c r="HF26" s="616">
        <f t="shared" si="100"/>
        <v>10434769</v>
      </c>
      <c r="HG26" s="602">
        <f t="shared" ca="1" si="101"/>
        <v>10434769</v>
      </c>
      <c r="HH26" s="602"/>
      <c r="HI26" s="602"/>
      <c r="HJ26" s="602">
        <f t="shared" si="117"/>
        <v>17351</v>
      </c>
      <c r="HK26" s="609">
        <f t="shared" si="112"/>
        <v>0</v>
      </c>
      <c r="HL26" s="609"/>
      <c r="HM26" s="673">
        <v>1270612.5</v>
      </c>
      <c r="HN26" s="62">
        <v>1069200</v>
      </c>
      <c r="HO26" s="673">
        <v>685910.97</v>
      </c>
      <c r="HP26" s="673">
        <f t="shared" si="102"/>
        <v>6501522.5099999998</v>
      </c>
      <c r="HQ26" s="539">
        <v>3278983.33</v>
      </c>
      <c r="HR26" s="539">
        <v>583458.17999999993</v>
      </c>
      <c r="HS26" s="539">
        <v>238242</v>
      </c>
      <c r="HT26" s="539">
        <v>1441010</v>
      </c>
      <c r="HU26" s="539">
        <v>959829</v>
      </c>
      <c r="HV26" s="673">
        <v>1522741</v>
      </c>
      <c r="HW26" s="673">
        <f>HV26+HP26+HO26+HM26</f>
        <v>9980786.9800000004</v>
      </c>
      <c r="HX26" s="539"/>
    </row>
    <row r="27" spans="1:232" s="40" customFormat="1" ht="20.100000000000001" hidden="1" customHeight="1">
      <c r="A27" s="766" t="s">
        <v>13</v>
      </c>
      <c r="B27" s="6" t="s">
        <v>14</v>
      </c>
      <c r="C27" s="6" t="s">
        <v>90</v>
      </c>
      <c r="D27" s="6">
        <v>2014</v>
      </c>
      <c r="E27" s="6" t="s">
        <v>15</v>
      </c>
      <c r="F27" s="6" t="s">
        <v>16</v>
      </c>
      <c r="G27" s="6" t="s">
        <v>337</v>
      </c>
      <c r="H27" s="6" t="s">
        <v>187</v>
      </c>
      <c r="I27" s="31" t="s">
        <v>98</v>
      </c>
      <c r="J27" s="31"/>
      <c r="K27" s="180" t="s">
        <v>450</v>
      </c>
      <c r="L27" s="111" t="s">
        <v>47</v>
      </c>
      <c r="M27" s="67" t="s">
        <v>48</v>
      </c>
      <c r="N27" s="68"/>
      <c r="O27" s="148">
        <f>5311+1709</f>
        <v>7020</v>
      </c>
      <c r="P27" s="148">
        <v>577000</v>
      </c>
      <c r="Q27" s="148">
        <v>173455</v>
      </c>
      <c r="R27" s="142">
        <f>P27/21</f>
        <v>27476.190476190477</v>
      </c>
      <c r="S27" s="148">
        <f t="shared" si="120"/>
        <v>82.193732193732188</v>
      </c>
      <c r="T27" s="148">
        <f t="shared" si="121"/>
        <v>24.708689458689459</v>
      </c>
      <c r="U27" s="148">
        <f t="shared" si="122"/>
        <v>113.95918742773048</v>
      </c>
      <c r="V27" s="148">
        <f t="shared" si="123"/>
        <v>8259.7619047619046</v>
      </c>
      <c r="W27" s="142">
        <f t="shared" si="124"/>
        <v>334.28571428571428</v>
      </c>
      <c r="X27" s="151"/>
      <c r="Y27" s="523">
        <f t="shared" si="63"/>
        <v>29.914529914529915</v>
      </c>
      <c r="Z27" s="151" t="s">
        <v>165</v>
      </c>
      <c r="AA27" s="145">
        <v>40</v>
      </c>
      <c r="AB27" s="146"/>
      <c r="AC27" s="6" t="s">
        <v>10</v>
      </c>
      <c r="AD27" s="493">
        <f t="shared" si="64"/>
        <v>21</v>
      </c>
      <c r="AE27" s="493">
        <f t="shared" si="65"/>
        <v>21</v>
      </c>
      <c r="AF27" s="7"/>
      <c r="AG27" s="6">
        <f>21*1</f>
        <v>21</v>
      </c>
      <c r="AH27" s="42"/>
      <c r="AI27" s="42"/>
      <c r="AJ27" s="796">
        <v>1522.08</v>
      </c>
      <c r="AK27" s="278">
        <v>1522.08</v>
      </c>
      <c r="AL27" s="586">
        <f t="shared" si="66"/>
        <v>72.47999999999999</v>
      </c>
      <c r="AM27" s="8">
        <f t="shared" si="67"/>
        <v>72.47999999999999</v>
      </c>
      <c r="AN27" s="35">
        <v>5.41</v>
      </c>
      <c r="AO27" s="35">
        <v>5.41</v>
      </c>
      <c r="AP27" s="35">
        <v>392.41</v>
      </c>
      <c r="AQ27" s="37">
        <v>0</v>
      </c>
      <c r="AR27" s="37">
        <v>7</v>
      </c>
      <c r="AS27" s="37">
        <v>8</v>
      </c>
      <c r="AT27" s="37">
        <v>5</v>
      </c>
      <c r="AU27" s="37">
        <v>1</v>
      </c>
      <c r="AV27" s="8"/>
      <c r="AW27" s="51"/>
      <c r="AX27" s="53">
        <f>AW27/O27</f>
        <v>0</v>
      </c>
      <c r="AY27" s="35">
        <v>1</v>
      </c>
      <c r="AZ27" s="32" t="s">
        <v>397</v>
      </c>
      <c r="BA27" s="6" t="s">
        <v>99</v>
      </c>
      <c r="BB27" s="31"/>
      <c r="BC27" s="31"/>
      <c r="BD27" s="31"/>
      <c r="BE27" s="31"/>
      <c r="BF27" s="73">
        <v>41438</v>
      </c>
      <c r="BG27" s="73"/>
      <c r="BH27" s="73">
        <v>40963</v>
      </c>
      <c r="BI27" s="73"/>
      <c r="BJ27" s="660">
        <v>41728</v>
      </c>
      <c r="BK27" s="660">
        <v>41848</v>
      </c>
      <c r="BL27" s="661">
        <v>43010</v>
      </c>
      <c r="BM27" s="659">
        <f t="shared" si="68"/>
        <v>4</v>
      </c>
      <c r="BN27" s="578" t="s">
        <v>235</v>
      </c>
      <c r="BO27" s="829">
        <v>42527</v>
      </c>
      <c r="BP27" s="569">
        <v>42594</v>
      </c>
      <c r="BQ27" s="654">
        <f t="shared" si="125"/>
        <v>2.2333333333333334</v>
      </c>
      <c r="BR27" s="637"/>
      <c r="BS27" s="112">
        <v>42686</v>
      </c>
      <c r="BT27" s="112"/>
      <c r="BU27" s="202">
        <v>42736</v>
      </c>
      <c r="BV27" s="201">
        <f t="shared" si="69"/>
        <v>43466</v>
      </c>
      <c r="BW27" s="439">
        <f>13902+33446+35816</f>
        <v>83164</v>
      </c>
      <c r="BX27" s="201" t="str">
        <f t="shared" si="104"/>
        <v>oui</v>
      </c>
      <c r="BY27" s="557">
        <f t="shared" si="105"/>
        <v>-5.9666666666666668</v>
      </c>
      <c r="BZ27" s="439" t="str">
        <f t="shared" si="106"/>
        <v>0</v>
      </c>
      <c r="CA27" s="439">
        <f t="shared" si="107"/>
        <v>83164</v>
      </c>
      <c r="CB27" s="81"/>
      <c r="CC27" s="81"/>
      <c r="CD27" s="81"/>
      <c r="CE27" s="326" t="str">
        <f t="shared" si="70"/>
        <v>0</v>
      </c>
      <c r="CF27" s="81"/>
      <c r="CG27" s="81"/>
      <c r="CH27" s="326" t="str">
        <f t="shared" si="71"/>
        <v>0</v>
      </c>
      <c r="CI27" s="81"/>
      <c r="CJ27" s="81"/>
      <c r="CK27" s="326" t="str">
        <f t="shared" si="72"/>
        <v>0</v>
      </c>
      <c r="CL27" s="81"/>
      <c r="CM27" s="81"/>
      <c r="CN27" s="326" t="str">
        <f t="shared" si="73"/>
        <v>0</v>
      </c>
      <c r="CO27" s="81"/>
      <c r="CP27" s="81"/>
      <c r="CQ27" s="326" t="str">
        <f t="shared" si="74"/>
        <v>0</v>
      </c>
      <c r="CR27" s="53"/>
      <c r="CS27" s="81"/>
      <c r="CT27" s="81"/>
      <c r="CU27" s="81"/>
      <c r="CV27" s="326"/>
      <c r="CW27" s="81"/>
      <c r="CX27" s="238">
        <v>42933</v>
      </c>
      <c r="CY27" s="232">
        <v>2017</v>
      </c>
      <c r="CZ27" s="286">
        <f t="shared" si="75"/>
        <v>36.166666666666664</v>
      </c>
      <c r="DA27" s="326" t="str">
        <f t="shared" si="76"/>
        <v>0</v>
      </c>
      <c r="DB27" s="179">
        <v>15</v>
      </c>
      <c r="DC27" s="76">
        <f t="shared" si="77"/>
        <v>19</v>
      </c>
      <c r="DD27" s="81">
        <v>42965</v>
      </c>
      <c r="DE27" s="81">
        <v>43038</v>
      </c>
      <c r="DF27" s="326">
        <f t="shared" si="78"/>
        <v>73</v>
      </c>
      <c r="DG27" s="830">
        <v>43266</v>
      </c>
      <c r="DH27" s="363">
        <v>43284</v>
      </c>
      <c r="DI27" s="329">
        <f t="shared" si="79"/>
        <v>18</v>
      </c>
      <c r="DJ27" s="485">
        <v>43294</v>
      </c>
      <c r="DK27" s="485">
        <v>43300</v>
      </c>
      <c r="DL27" s="448">
        <f t="shared" si="80"/>
        <v>6</v>
      </c>
      <c r="DM27" s="81">
        <v>43336</v>
      </c>
      <c r="DN27" s="81">
        <v>43358</v>
      </c>
      <c r="DO27" s="326">
        <f t="shared" si="81"/>
        <v>22</v>
      </c>
      <c r="DP27" s="81">
        <v>43341</v>
      </c>
      <c r="DQ27" s="81">
        <v>43389</v>
      </c>
      <c r="DR27" s="326">
        <f t="shared" si="82"/>
        <v>48</v>
      </c>
      <c r="DS27" s="81">
        <v>43355</v>
      </c>
      <c r="DT27" s="81">
        <v>43389</v>
      </c>
      <c r="DU27" s="326">
        <f t="shared" si="83"/>
        <v>34</v>
      </c>
      <c r="DV27" s="132">
        <v>43376</v>
      </c>
      <c r="DW27" s="132">
        <v>43616</v>
      </c>
      <c r="DX27" s="598">
        <f t="shared" si="84"/>
        <v>240</v>
      </c>
      <c r="DY27" s="132">
        <v>43315</v>
      </c>
      <c r="DZ27" s="132">
        <v>43315</v>
      </c>
      <c r="EA27" s="132">
        <v>43315</v>
      </c>
      <c r="EB27" s="293">
        <f t="shared" si="85"/>
        <v>43390</v>
      </c>
      <c r="EC27" s="238">
        <v>43525</v>
      </c>
      <c r="ED27" s="501">
        <f t="shared" si="86"/>
        <v>4.5</v>
      </c>
      <c r="EE27" s="621">
        <f t="shared" ref="EE27:EE30" ca="1" si="127">IF(((EC27-TODAY())/30)&lt;0,0,(EC27-TODAY())/30)</f>
        <v>0</v>
      </c>
      <c r="EF27" s="293">
        <f t="shared" ref="EF27:EF30" si="128">DATE(YEAR(DH27)+2,MONTH(DH27),DAY(DH27))</f>
        <v>44015</v>
      </c>
      <c r="EG27" s="75">
        <v>43655</v>
      </c>
      <c r="EH27" s="75">
        <v>43367</v>
      </c>
      <c r="EI27" s="75">
        <v>43622</v>
      </c>
      <c r="EJ27" s="293">
        <v>43627</v>
      </c>
      <c r="EK27" s="533">
        <f t="shared" si="114"/>
        <v>43421</v>
      </c>
      <c r="EL27" s="238">
        <v>43645</v>
      </c>
      <c r="EM27" s="380">
        <v>2019</v>
      </c>
      <c r="EN27" s="497">
        <f t="shared" si="108"/>
        <v>7.4666666666666668</v>
      </c>
      <c r="EO27" s="455">
        <f>100499.898263388/12</f>
        <v>8374.9915219489994</v>
      </c>
      <c r="EP27" s="508">
        <f t="shared" si="87"/>
        <v>62533.270030552529</v>
      </c>
      <c r="EQ27" s="279"/>
      <c r="ER27" s="353">
        <v>368628</v>
      </c>
      <c r="ES27" s="353">
        <v>331830</v>
      </c>
      <c r="ET27" s="378" t="s">
        <v>592</v>
      </c>
      <c r="EU27" s="378">
        <v>0</v>
      </c>
      <c r="EV27" s="378">
        <v>0</v>
      </c>
      <c r="EW27" s="483">
        <f t="shared" si="118"/>
        <v>0</v>
      </c>
      <c r="EX27" s="351" t="s">
        <v>16</v>
      </c>
      <c r="EY27" s="756" t="s">
        <v>588</v>
      </c>
      <c r="EZ27" s="757" t="s">
        <v>682</v>
      </c>
      <c r="FA27" s="758" t="s">
        <v>548</v>
      </c>
      <c r="FB27" s="126">
        <f t="shared" si="88"/>
        <v>44015</v>
      </c>
      <c r="FC27" s="81" t="s">
        <v>105</v>
      </c>
      <c r="FD27" s="80" t="s">
        <v>806</v>
      </c>
      <c r="FE27" s="80"/>
      <c r="FF27" s="80"/>
      <c r="FG27" s="123" t="s">
        <v>898</v>
      </c>
      <c r="FH27" s="31" t="s">
        <v>875</v>
      </c>
      <c r="FI27" s="214">
        <f t="shared" si="89"/>
        <v>43891</v>
      </c>
      <c r="FJ27" s="194"/>
      <c r="FK27" s="31"/>
      <c r="FL27" s="215">
        <v>43816</v>
      </c>
      <c r="FM27" s="73">
        <v>43850</v>
      </c>
      <c r="FN27" s="74"/>
      <c r="FO27" s="74"/>
      <c r="FP27" s="74"/>
      <c r="FQ27" s="74"/>
      <c r="FR27" s="74"/>
      <c r="FS27" s="74"/>
      <c r="FT27" s="74"/>
      <c r="FU27" s="31"/>
      <c r="FV27" s="31"/>
      <c r="FW27" s="31"/>
      <c r="FX27" s="529"/>
      <c r="FY27" s="652">
        <f t="shared" si="90"/>
        <v>3782523.95</v>
      </c>
      <c r="FZ27" s="550">
        <f>GE27+GH27+GM27+HC27+GL27+GR27+GP27+GQ27+GU27-HA27</f>
        <v>4645122.73135</v>
      </c>
      <c r="GA27" s="500">
        <f t="shared" si="109"/>
        <v>4645122.73135</v>
      </c>
      <c r="GB27" s="610">
        <f>GM27+GN27+GR27+GQ27+GV27+GX27</f>
        <v>1064396.2</v>
      </c>
      <c r="GC27" s="28">
        <f t="shared" si="92"/>
        <v>3051.8256145209189</v>
      </c>
      <c r="GD27" s="28">
        <f t="shared" si="93"/>
        <v>221196.32054047618</v>
      </c>
      <c r="GE27" s="9">
        <v>1233885.81</v>
      </c>
      <c r="GF27" s="417">
        <v>1268847</v>
      </c>
      <c r="GG27" s="16">
        <f t="shared" si="110"/>
        <v>58756.467142857146</v>
      </c>
      <c r="GH27" s="9">
        <f>GJ27+GI27</f>
        <v>1784577</v>
      </c>
      <c r="GI27" s="10">
        <v>599672</v>
      </c>
      <c r="GJ27" s="10">
        <v>1184905</v>
      </c>
      <c r="GK27" s="407">
        <f t="shared" si="94"/>
        <v>84979.857142857145</v>
      </c>
      <c r="GL27" s="9"/>
      <c r="GM27" s="573">
        <v>442750</v>
      </c>
      <c r="GN27" s="49">
        <v>0</v>
      </c>
      <c r="GO27" s="23">
        <f t="shared" si="95"/>
        <v>9.5315027310661549E-2</v>
      </c>
      <c r="GP27" s="60"/>
      <c r="GQ27" s="60"/>
      <c r="GR27" s="9">
        <v>14424</v>
      </c>
      <c r="GS27" s="28">
        <f t="shared" si="96"/>
        <v>21083.333333333332</v>
      </c>
      <c r="GT27" s="28">
        <f t="shared" si="97"/>
        <v>79839.800476190474</v>
      </c>
      <c r="GU27" s="680">
        <v>1039697</v>
      </c>
      <c r="GV27" s="680">
        <f>15000*AD27</f>
        <v>315000</v>
      </c>
      <c r="GW27" s="680">
        <f t="shared" si="126"/>
        <v>94839.800476190474</v>
      </c>
      <c r="GX27" s="680">
        <v>292222.2</v>
      </c>
      <c r="GY27" s="680">
        <f t="shared" si="98"/>
        <v>108755.14333333334</v>
      </c>
      <c r="GZ27" s="681">
        <f t="shared" si="111"/>
        <v>0.41466475832769645</v>
      </c>
      <c r="HA27" s="680">
        <v>177098.21865</v>
      </c>
      <c r="HB27" s="680"/>
      <c r="HC27" s="9">
        <v>306887.14</v>
      </c>
      <c r="HD27" s="610">
        <f>2534551.60755+1262197</f>
        <v>3796748.6075499998</v>
      </c>
      <c r="HE27" s="608">
        <f t="shared" si="99"/>
        <v>0.81736238784945103</v>
      </c>
      <c r="HF27" s="616">
        <f t="shared" si="100"/>
        <v>848374.12380000018</v>
      </c>
      <c r="HG27" s="602">
        <f t="shared" ca="1" si="101"/>
        <v>848374.12380000018</v>
      </c>
      <c r="HH27" s="608">
        <f ca="1">(HG27+HD27)/FZ27</f>
        <v>1</v>
      </c>
      <c r="HI27" s="602">
        <f>'[1]GLOBAL OPERATION'!$AG$76</f>
        <v>689078.94</v>
      </c>
      <c r="HJ27" s="602">
        <f t="shared" si="117"/>
        <v>375317.26</v>
      </c>
      <c r="HK27" s="608">
        <f t="shared" si="112"/>
        <v>0.64738951529515043</v>
      </c>
      <c r="HL27" s="608"/>
      <c r="HM27" s="673"/>
      <c r="HN27" s="62"/>
      <c r="HO27" s="673"/>
      <c r="HP27" s="673">
        <f t="shared" si="102"/>
        <v>0</v>
      </c>
      <c r="HQ27" s="539"/>
      <c r="HR27" s="539"/>
      <c r="HS27" s="539"/>
      <c r="HT27" s="539"/>
      <c r="HU27" s="539"/>
      <c r="HV27" s="673"/>
      <c r="HW27" s="673">
        <f>HV27+HP27+HO27+HM27</f>
        <v>0</v>
      </c>
      <c r="HX27" s="539"/>
    </row>
    <row r="28" spans="1:232" ht="20.100000000000001" hidden="1" customHeight="1">
      <c r="A28" s="747" t="s">
        <v>668</v>
      </c>
      <c r="B28" s="6" t="s">
        <v>80</v>
      </c>
      <c r="C28" s="6" t="s">
        <v>92</v>
      </c>
      <c r="D28" s="6">
        <v>2017</v>
      </c>
      <c r="E28" s="6" t="s">
        <v>393</v>
      </c>
      <c r="F28" s="6" t="s">
        <v>903</v>
      </c>
      <c r="G28" s="6" t="s">
        <v>337</v>
      </c>
      <c r="H28" s="6" t="s">
        <v>137</v>
      </c>
      <c r="I28" s="31"/>
      <c r="J28" s="31" t="s">
        <v>302</v>
      </c>
      <c r="K28" s="180"/>
      <c r="L28" s="111"/>
      <c r="M28" s="67"/>
      <c r="N28" s="68"/>
      <c r="O28" s="142">
        <v>3474</v>
      </c>
      <c r="P28" s="142">
        <v>1</v>
      </c>
      <c r="Q28" s="142"/>
      <c r="R28" s="142">
        <f>P28/AD28</f>
        <v>5.0000000000000001E-3</v>
      </c>
      <c r="S28" s="142">
        <f t="shared" si="120"/>
        <v>2.878526194588371E-4</v>
      </c>
      <c r="T28" s="148">
        <f t="shared" si="121"/>
        <v>0</v>
      </c>
      <c r="U28" s="148">
        <f t="shared" si="122"/>
        <v>0</v>
      </c>
      <c r="V28" s="148">
        <f t="shared" si="123"/>
        <v>0</v>
      </c>
      <c r="W28" s="142">
        <f t="shared" si="124"/>
        <v>17.37</v>
      </c>
      <c r="X28" s="143"/>
      <c r="Y28" s="522">
        <f t="shared" si="63"/>
        <v>575.70523891767414</v>
      </c>
      <c r="Z28" s="143"/>
      <c r="AA28" s="145">
        <v>70</v>
      </c>
      <c r="AB28" s="146"/>
      <c r="AC28" s="6" t="s">
        <v>301</v>
      </c>
      <c r="AD28" s="493">
        <f t="shared" si="64"/>
        <v>200</v>
      </c>
      <c r="AE28" s="493">
        <f t="shared" si="65"/>
        <v>200</v>
      </c>
      <c r="AF28" s="7"/>
      <c r="AG28" s="29"/>
      <c r="AH28" s="31">
        <v>200</v>
      </c>
      <c r="AI28" s="42"/>
      <c r="AJ28" s="796">
        <v>3391.22</v>
      </c>
      <c r="AK28" s="278">
        <v>4050.95</v>
      </c>
      <c r="AL28" s="586">
        <f t="shared" si="66"/>
        <v>16.956099999999999</v>
      </c>
      <c r="AM28" s="8">
        <f t="shared" si="67"/>
        <v>20.254749999999998</v>
      </c>
      <c r="AN28" s="35"/>
      <c r="AO28" s="35"/>
      <c r="AP28" s="35"/>
      <c r="AQ28" s="53"/>
      <c r="AR28" s="53"/>
      <c r="AS28" s="53"/>
      <c r="AT28" s="53"/>
      <c r="AU28" s="53"/>
      <c r="AV28" s="8"/>
      <c r="AW28" s="124"/>
      <c r="AX28" s="70"/>
      <c r="AY28" s="35"/>
      <c r="AZ28" s="34" t="s">
        <v>398</v>
      </c>
      <c r="BA28" s="6" t="s">
        <v>98</v>
      </c>
      <c r="BB28" s="37"/>
      <c r="BC28" s="37"/>
      <c r="BD28" s="505">
        <f>BB28/AK28</f>
        <v>0</v>
      </c>
      <c r="BE28" s="505"/>
      <c r="BF28" s="31"/>
      <c r="BG28" s="31"/>
      <c r="BH28" s="31"/>
      <c r="BI28" s="31"/>
      <c r="BJ28" s="660">
        <v>42824</v>
      </c>
      <c r="BK28" s="660">
        <v>43024</v>
      </c>
      <c r="BL28" s="661"/>
      <c r="BM28" s="659">
        <f t="shared" si="68"/>
        <v>6.666666666666667</v>
      </c>
      <c r="BN28" s="578" t="s">
        <v>235</v>
      </c>
      <c r="BO28" s="109">
        <v>43055</v>
      </c>
      <c r="BP28" s="138">
        <v>43074</v>
      </c>
      <c r="BQ28" s="655">
        <f t="shared" si="125"/>
        <v>0.6333333333333333</v>
      </c>
      <c r="BR28" s="638">
        <v>72311</v>
      </c>
      <c r="BS28" s="110">
        <f>DATE(YEAR(BP28),MONTH(BP28)+3,DAY(BP28))</f>
        <v>43164</v>
      </c>
      <c r="BT28" s="110"/>
      <c r="BU28" s="202">
        <v>43191</v>
      </c>
      <c r="BV28" s="201">
        <f t="shared" si="69"/>
        <v>43922</v>
      </c>
      <c r="BW28" s="439">
        <f>122362+216619</f>
        <v>338981</v>
      </c>
      <c r="BX28" s="201" t="str">
        <f t="shared" si="104"/>
        <v>non</v>
      </c>
      <c r="BY28" s="557">
        <f t="shared" si="105"/>
        <v>7.5</v>
      </c>
      <c r="BZ28" s="439">
        <f t="shared" si="106"/>
        <v>0</v>
      </c>
      <c r="CA28" s="439">
        <f t="shared" si="107"/>
        <v>338981</v>
      </c>
      <c r="CB28" s="279"/>
      <c r="CC28" s="81"/>
      <c r="CD28" s="81"/>
      <c r="CE28" s="326" t="str">
        <f t="shared" si="70"/>
        <v>0</v>
      </c>
      <c r="CF28" s="81"/>
      <c r="CG28" s="81"/>
      <c r="CH28" s="326" t="str">
        <f t="shared" si="71"/>
        <v>0</v>
      </c>
      <c r="CI28" s="214"/>
      <c r="CJ28" s="214"/>
      <c r="CK28" s="326" t="str">
        <f t="shared" si="72"/>
        <v>0</v>
      </c>
      <c r="CL28" s="81"/>
      <c r="CM28" s="81"/>
      <c r="CN28" s="326" t="str">
        <f t="shared" si="73"/>
        <v>0</v>
      </c>
      <c r="CO28" s="81"/>
      <c r="CP28" s="81"/>
      <c r="CQ28" s="326" t="str">
        <f t="shared" si="74"/>
        <v>0</v>
      </c>
      <c r="CR28" s="290"/>
      <c r="CS28" s="280"/>
      <c r="CT28" s="214"/>
      <c r="CU28" s="81"/>
      <c r="CV28" s="326"/>
      <c r="CW28" s="214"/>
      <c r="CX28" s="282">
        <v>43091</v>
      </c>
      <c r="CY28" s="283">
        <v>2017</v>
      </c>
      <c r="CZ28" s="288">
        <f t="shared" si="75"/>
        <v>2.2333333333333334</v>
      </c>
      <c r="DA28" s="326" t="str">
        <f t="shared" si="76"/>
        <v>0</v>
      </c>
      <c r="DB28" s="179">
        <v>18</v>
      </c>
      <c r="DC28" s="76">
        <f t="shared" si="77"/>
        <v>19</v>
      </c>
      <c r="DD28" s="279"/>
      <c r="DE28" s="81">
        <v>43167</v>
      </c>
      <c r="DF28" s="326" t="str">
        <f t="shared" si="78"/>
        <v>0</v>
      </c>
      <c r="DG28" s="824"/>
      <c r="DH28" s="395">
        <v>43251</v>
      </c>
      <c r="DI28" s="329" t="str">
        <f t="shared" si="79"/>
        <v>0</v>
      </c>
      <c r="DJ28" s="81"/>
      <c r="DK28" s="214">
        <v>43403</v>
      </c>
      <c r="DL28" s="326" t="str">
        <f t="shared" si="80"/>
        <v>0</v>
      </c>
      <c r="DM28" s="81">
        <v>43495</v>
      </c>
      <c r="DN28" s="81">
        <v>43521</v>
      </c>
      <c r="DO28" s="326">
        <f t="shared" si="81"/>
        <v>26</v>
      </c>
      <c r="DP28" s="73">
        <v>43534</v>
      </c>
      <c r="DQ28" s="81">
        <v>43578</v>
      </c>
      <c r="DR28" s="326">
        <f t="shared" si="82"/>
        <v>44</v>
      </c>
      <c r="DS28" s="214">
        <v>43678</v>
      </c>
      <c r="DT28" s="214">
        <v>43558</v>
      </c>
      <c r="DU28" s="448">
        <f t="shared" si="83"/>
        <v>-120</v>
      </c>
      <c r="DV28" s="214">
        <v>43678</v>
      </c>
      <c r="DW28" s="214">
        <f ca="1">IF(DV28&lt;TODAY(),TODAY(),DV28)</f>
        <v>43950</v>
      </c>
      <c r="DX28" s="448">
        <f t="shared" ca="1" si="84"/>
        <v>272</v>
      </c>
      <c r="DY28" s="214"/>
      <c r="DZ28" s="214"/>
      <c r="EA28" s="214"/>
      <c r="EB28" s="383">
        <f t="shared" si="85"/>
        <v>43638</v>
      </c>
      <c r="EC28" s="238">
        <v>43693</v>
      </c>
      <c r="ED28" s="468">
        <f t="shared" si="86"/>
        <v>1.8333333333333333</v>
      </c>
      <c r="EE28" s="620">
        <f t="shared" ca="1" si="127"/>
        <v>0</v>
      </c>
      <c r="EF28" s="293">
        <f t="shared" si="128"/>
        <v>43982</v>
      </c>
      <c r="EG28" s="75"/>
      <c r="EH28" s="75"/>
      <c r="EI28" s="75"/>
      <c r="EJ28" s="293"/>
      <c r="EK28" s="533">
        <f t="shared" si="114"/>
        <v>43668</v>
      </c>
      <c r="EL28" s="238">
        <v>43697</v>
      </c>
      <c r="EM28" s="283">
        <v>2019</v>
      </c>
      <c r="EN28" s="497">
        <f t="shared" si="108"/>
        <v>0.96666666666666667</v>
      </c>
      <c r="EO28" s="462"/>
      <c r="EP28" s="38">
        <f t="shared" si="87"/>
        <v>0</v>
      </c>
      <c r="EQ28" s="77"/>
      <c r="ER28" s="353">
        <v>0</v>
      </c>
      <c r="ES28" s="353">
        <v>0</v>
      </c>
      <c r="ET28" s="353"/>
      <c r="EU28" s="353"/>
      <c r="EV28" s="353"/>
      <c r="EW28" s="483">
        <f t="shared" si="118"/>
        <v>0</v>
      </c>
      <c r="EX28" s="350"/>
      <c r="EY28" s="362"/>
      <c r="EZ28" s="657"/>
      <c r="FA28" s="350"/>
      <c r="FB28" s="126">
        <f t="shared" si="88"/>
        <v>43982</v>
      </c>
      <c r="FC28" s="80"/>
      <c r="FD28" s="80"/>
      <c r="FE28" s="80"/>
      <c r="FF28" s="80"/>
      <c r="FG28" s="80"/>
      <c r="FH28" s="31" t="s">
        <v>887</v>
      </c>
      <c r="FI28" s="194">
        <f t="shared" si="89"/>
        <v>44059</v>
      </c>
      <c r="FJ28" s="194"/>
      <c r="FK28" s="31"/>
      <c r="FL28" s="31"/>
      <c r="FM28" s="31"/>
      <c r="FN28" s="31"/>
      <c r="FO28" s="31"/>
      <c r="FP28" s="31"/>
      <c r="FQ28" s="31"/>
      <c r="FR28" s="31"/>
      <c r="FS28" s="31"/>
      <c r="FT28" s="31"/>
      <c r="FU28" s="31"/>
      <c r="FV28" s="31"/>
      <c r="FW28" s="31"/>
      <c r="FX28" s="529"/>
      <c r="FY28" s="652">
        <f t="shared" si="90"/>
        <v>11717406.772567019</v>
      </c>
      <c r="FZ28" s="550">
        <f>GE28+GH28+GM28+HC28+GL28+GR28+GP28+GQ28</f>
        <v>11717406.772567019</v>
      </c>
      <c r="GA28" s="500">
        <f t="shared" si="109"/>
        <v>11717406.772567019</v>
      </c>
      <c r="GB28" s="610">
        <f>GM28+GN28+GR28+GQ28+GV28+GX28</f>
        <v>2455688</v>
      </c>
      <c r="GC28" s="28">
        <f t="shared" si="92"/>
        <v>2892.5083678068154</v>
      </c>
      <c r="GD28" s="28">
        <f t="shared" si="93"/>
        <v>58587.033862835095</v>
      </c>
      <c r="GE28" s="9">
        <v>3407659.7725670198</v>
      </c>
      <c r="GF28" s="417">
        <v>3306813</v>
      </c>
      <c r="GG28" s="16">
        <f t="shared" si="110"/>
        <v>17038.298862835098</v>
      </c>
      <c r="GH28" s="9">
        <v>5854059</v>
      </c>
      <c r="GI28" s="268"/>
      <c r="GJ28" s="268"/>
      <c r="GK28" s="407">
        <f t="shared" si="94"/>
        <v>29270.294999999998</v>
      </c>
      <c r="GL28" s="9"/>
      <c r="GM28" s="9"/>
      <c r="GN28" s="45"/>
      <c r="GO28" s="23">
        <f t="shared" si="95"/>
        <v>0</v>
      </c>
      <c r="GP28" s="45"/>
      <c r="GQ28" s="45">
        <v>1227844</v>
      </c>
      <c r="GR28" s="9">
        <f>1227844</f>
        <v>1227844</v>
      </c>
      <c r="GS28" s="28">
        <f t="shared" si="96"/>
        <v>0</v>
      </c>
      <c r="GT28" s="28">
        <f t="shared" si="97"/>
        <v>17038.298862835098</v>
      </c>
      <c r="GU28" s="680"/>
      <c r="GV28" s="680"/>
      <c r="GW28" s="680">
        <f t="shared" si="126"/>
        <v>17038.298862835098</v>
      </c>
      <c r="GX28" s="680"/>
      <c r="GY28" s="680">
        <f t="shared" si="98"/>
        <v>17038.298862835098</v>
      </c>
      <c r="GZ28" s="681">
        <f t="shared" si="111"/>
        <v>0.29082030168527456</v>
      </c>
      <c r="HA28" s="680"/>
      <c r="HB28" s="680"/>
      <c r="HC28" s="9">
        <f>ES28</f>
        <v>0</v>
      </c>
      <c r="HD28" s="611">
        <v>9572866.6500000004</v>
      </c>
      <c r="HE28" s="608">
        <f t="shared" si="99"/>
        <v>0.81697826454332456</v>
      </c>
      <c r="HF28" s="616">
        <f t="shared" si="100"/>
        <v>2144540.1225670185</v>
      </c>
      <c r="HG28" s="602">
        <f t="shared" ca="1" si="101"/>
        <v>2144540.1225670185</v>
      </c>
      <c r="HH28" s="608">
        <f ca="1">(HD28+HG28)/FZ28</f>
        <v>1</v>
      </c>
      <c r="HI28" s="603">
        <f>'[1]GLOBAL OPERATION'!$AG$62</f>
        <v>6860</v>
      </c>
      <c r="HJ28" s="602">
        <f t="shared" si="117"/>
        <v>2448828</v>
      </c>
      <c r="HK28" s="602">
        <f t="shared" si="112"/>
        <v>2.7935144855535392E-3</v>
      </c>
      <c r="HL28" s="609"/>
      <c r="HM28" s="673"/>
      <c r="HN28" s="62"/>
      <c r="HO28" s="673"/>
      <c r="HP28" s="673">
        <f t="shared" si="102"/>
        <v>0</v>
      </c>
      <c r="HQ28" s="539"/>
      <c r="HR28" s="539"/>
      <c r="HS28" s="539"/>
      <c r="HT28" s="539"/>
      <c r="HU28" s="539"/>
      <c r="HV28" s="673"/>
      <c r="HW28" s="673">
        <f>HV28+HP28+HO28+HM28</f>
        <v>0</v>
      </c>
      <c r="HX28" s="539"/>
    </row>
    <row r="29" spans="1:232" ht="20.100000000000001" hidden="1" customHeight="1">
      <c r="A29" s="747" t="s">
        <v>669</v>
      </c>
      <c r="B29" s="6" t="s">
        <v>21</v>
      </c>
      <c r="C29" s="6" t="s">
        <v>90</v>
      </c>
      <c r="D29" s="6">
        <v>2018</v>
      </c>
      <c r="E29" s="6" t="s">
        <v>394</v>
      </c>
      <c r="F29" s="6" t="s">
        <v>903</v>
      </c>
      <c r="G29" s="6" t="s">
        <v>337</v>
      </c>
      <c r="H29" s="6" t="s">
        <v>137</v>
      </c>
      <c r="I29" s="31"/>
      <c r="J29" s="31" t="s">
        <v>303</v>
      </c>
      <c r="K29" s="180"/>
      <c r="L29" s="111"/>
      <c r="M29" s="67"/>
      <c r="N29" s="68"/>
      <c r="O29" s="142">
        <v>1952</v>
      </c>
      <c r="P29" s="142">
        <v>1</v>
      </c>
      <c r="Q29" s="142"/>
      <c r="R29" s="142">
        <f>P29/AD29</f>
        <v>0.01</v>
      </c>
      <c r="S29" s="142">
        <f t="shared" si="120"/>
        <v>5.1229508196721314E-4</v>
      </c>
      <c r="T29" s="148">
        <f t="shared" si="121"/>
        <v>0</v>
      </c>
      <c r="U29" s="148">
        <f t="shared" si="122"/>
        <v>0</v>
      </c>
      <c r="V29" s="148">
        <f t="shared" si="123"/>
        <v>0</v>
      </c>
      <c r="W29" s="142">
        <f t="shared" si="124"/>
        <v>19.52</v>
      </c>
      <c r="X29" s="143"/>
      <c r="Y29" s="522">
        <f t="shared" si="63"/>
        <v>512.29508196721315</v>
      </c>
      <c r="Z29" s="143"/>
      <c r="AA29" s="145">
        <v>500</v>
      </c>
      <c r="AB29" s="146"/>
      <c r="AC29" s="6" t="s">
        <v>301</v>
      </c>
      <c r="AD29" s="493">
        <f t="shared" si="64"/>
        <v>100</v>
      </c>
      <c r="AE29" s="493">
        <f t="shared" si="65"/>
        <v>100</v>
      </c>
      <c r="AF29" s="7"/>
      <c r="AG29" s="7"/>
      <c r="AH29" s="31">
        <v>100</v>
      </c>
      <c r="AI29" s="42"/>
      <c r="AJ29" s="796">
        <v>1701.83</v>
      </c>
      <c r="AK29" s="278">
        <v>1923.47</v>
      </c>
      <c r="AL29" s="586">
        <f t="shared" si="66"/>
        <v>17.0183</v>
      </c>
      <c r="AM29" s="8">
        <f t="shared" si="67"/>
        <v>19.2347</v>
      </c>
      <c r="AN29" s="35"/>
      <c r="AO29" s="35"/>
      <c r="AP29" s="35"/>
      <c r="AQ29" s="53"/>
      <c r="AR29" s="53"/>
      <c r="AS29" s="53"/>
      <c r="AT29" s="53"/>
      <c r="AU29" s="53"/>
      <c r="AV29" s="8"/>
      <c r="AW29" s="124"/>
      <c r="AX29" s="70"/>
      <c r="AY29" s="35"/>
      <c r="AZ29" s="34" t="s">
        <v>398</v>
      </c>
      <c r="BA29" s="6" t="s">
        <v>98</v>
      </c>
      <c r="BB29" s="37"/>
      <c r="BC29" s="37"/>
      <c r="BD29" s="505">
        <f>BB29/AK29</f>
        <v>0</v>
      </c>
      <c r="BE29" s="505"/>
      <c r="BF29" s="31"/>
      <c r="BG29" s="31"/>
      <c r="BH29" s="31"/>
      <c r="BI29" s="31"/>
      <c r="BJ29" s="660">
        <v>42824</v>
      </c>
      <c r="BK29" s="660">
        <v>43102</v>
      </c>
      <c r="BL29" s="661">
        <v>43116</v>
      </c>
      <c r="BM29" s="659">
        <f t="shared" si="68"/>
        <v>9.2666666666666675</v>
      </c>
      <c r="BN29" s="578" t="s">
        <v>235</v>
      </c>
      <c r="BO29" s="109">
        <v>43112</v>
      </c>
      <c r="BP29" s="138">
        <v>43144</v>
      </c>
      <c r="BQ29" s="654">
        <f t="shared" si="125"/>
        <v>1.0666666666666667</v>
      </c>
      <c r="BR29" s="638">
        <v>74911</v>
      </c>
      <c r="BS29" s="110">
        <f>DATE(YEAR(BP29),MONTH(BP29)+3,DAY(BP29))</f>
        <v>43233</v>
      </c>
      <c r="BT29" s="110">
        <v>43160</v>
      </c>
      <c r="BU29" s="202">
        <v>43252</v>
      </c>
      <c r="BV29" s="201">
        <f t="shared" si="69"/>
        <v>43983</v>
      </c>
      <c r="BW29" s="439">
        <f>63685+116945</f>
        <v>180630</v>
      </c>
      <c r="BX29" s="201" t="str">
        <f t="shared" si="104"/>
        <v>non</v>
      </c>
      <c r="BY29" s="439">
        <f t="shared" si="105"/>
        <v>9.5333333333333332</v>
      </c>
      <c r="BZ29" s="439">
        <f t="shared" si="106"/>
        <v>0</v>
      </c>
      <c r="CA29" s="439">
        <f t="shared" si="107"/>
        <v>180630</v>
      </c>
      <c r="CB29" s="339"/>
      <c r="CC29" s="341"/>
      <c r="CD29" s="341"/>
      <c r="CE29" s="326" t="str">
        <f t="shared" si="70"/>
        <v>0</v>
      </c>
      <c r="CF29" s="341">
        <v>42775</v>
      </c>
      <c r="CG29" s="341">
        <v>42871</v>
      </c>
      <c r="CH29" s="326">
        <f t="shared" si="71"/>
        <v>96</v>
      </c>
      <c r="CI29" s="341"/>
      <c r="CJ29" s="341"/>
      <c r="CK29" s="326" t="str">
        <f t="shared" si="72"/>
        <v>0</v>
      </c>
      <c r="CL29" s="341"/>
      <c r="CM29" s="339">
        <f ca="1">IF(CL29&lt;TODAY(),TODAY(),CL29)</f>
        <v>43950</v>
      </c>
      <c r="CN29" s="326" t="str">
        <f t="shared" ca="1" si="73"/>
        <v>0</v>
      </c>
      <c r="CO29" s="341"/>
      <c r="CP29" s="341">
        <f ca="1">IF(CO29&lt;TODAY(),TODAY(),CO29)</f>
        <v>43950</v>
      </c>
      <c r="CQ29" s="326" t="str">
        <f t="shared" ca="1" si="74"/>
        <v>0</v>
      </c>
      <c r="CR29" s="290"/>
      <c r="CS29" s="223"/>
      <c r="CT29" s="222"/>
      <c r="CU29" s="132"/>
      <c r="CV29" s="597" t="str">
        <f>IF(AND(CT29&gt;0,CU29&gt;0),CU29-CT29,"0")</f>
        <v>0</v>
      </c>
      <c r="CW29" s="222"/>
      <c r="CX29" s="282">
        <v>43168</v>
      </c>
      <c r="CY29" s="230">
        <v>2018</v>
      </c>
      <c r="CZ29" s="285">
        <f t="shared" si="75"/>
        <v>2.2000000000000002</v>
      </c>
      <c r="DA29" s="326" t="str">
        <f t="shared" si="76"/>
        <v>0</v>
      </c>
      <c r="DB29" s="179">
        <v>17</v>
      </c>
      <c r="DC29" s="179">
        <f t="shared" si="77"/>
        <v>17</v>
      </c>
      <c r="DD29" s="214"/>
      <c r="DE29" s="214">
        <v>43307</v>
      </c>
      <c r="DF29" s="448" t="str">
        <f t="shared" si="78"/>
        <v>0</v>
      </c>
      <c r="DG29" s="459"/>
      <c r="DH29" s="395">
        <v>43348</v>
      </c>
      <c r="DI29" s="396" t="str">
        <f t="shared" si="79"/>
        <v>0</v>
      </c>
      <c r="DJ29" s="337">
        <v>43511</v>
      </c>
      <c r="DK29" s="337">
        <f ca="1">IF(DJ29&lt;TODAY(),TODAY(),DJ29)</f>
        <v>43950</v>
      </c>
      <c r="DL29" s="332">
        <f t="shared" ca="1" si="80"/>
        <v>439</v>
      </c>
      <c r="DM29" s="132">
        <v>43565</v>
      </c>
      <c r="DN29" s="132">
        <v>43544</v>
      </c>
      <c r="DO29" s="597">
        <f t="shared" si="81"/>
        <v>-21</v>
      </c>
      <c r="DP29" s="73">
        <v>43565</v>
      </c>
      <c r="DQ29" s="81">
        <v>43578</v>
      </c>
      <c r="DR29" s="326">
        <f t="shared" si="82"/>
        <v>13</v>
      </c>
      <c r="DS29" s="214">
        <v>43595</v>
      </c>
      <c r="DT29" s="214">
        <f ca="1">IF(DS29&lt;TODAY(),TODAY(),DS29)</f>
        <v>43950</v>
      </c>
      <c r="DU29" s="448">
        <f t="shared" ca="1" si="83"/>
        <v>355</v>
      </c>
      <c r="DV29" s="214">
        <v>43678</v>
      </c>
      <c r="DW29" s="214">
        <f ca="1">IF(DV29&lt;TODAY(),TODAY(),DV29)</f>
        <v>43950</v>
      </c>
      <c r="DX29" s="448">
        <f t="shared" ca="1" si="84"/>
        <v>272</v>
      </c>
      <c r="DY29" s="214"/>
      <c r="DZ29" s="214"/>
      <c r="EA29" s="214"/>
      <c r="EB29" s="383">
        <f t="shared" si="85"/>
        <v>43686</v>
      </c>
      <c r="EC29" s="238">
        <v>43693</v>
      </c>
      <c r="ED29" s="468">
        <f t="shared" si="86"/>
        <v>0.23333333333333334</v>
      </c>
      <c r="EE29" s="620">
        <f t="shared" ca="1" si="127"/>
        <v>0</v>
      </c>
      <c r="EF29" s="293">
        <f t="shared" si="128"/>
        <v>44079</v>
      </c>
      <c r="EG29" s="75"/>
      <c r="EH29" s="75"/>
      <c r="EI29" s="75"/>
      <c r="EJ29" s="760"/>
      <c r="EK29" s="533">
        <v>43693</v>
      </c>
      <c r="EL29" s="238">
        <v>43697</v>
      </c>
      <c r="EM29" s="283">
        <v>2019</v>
      </c>
      <c r="EN29" s="497">
        <f t="shared" si="108"/>
        <v>0.13333333333333333</v>
      </c>
      <c r="EO29" s="462"/>
      <c r="EP29" s="38">
        <f t="shared" si="87"/>
        <v>0</v>
      </c>
      <c r="EQ29" s="77"/>
      <c r="ER29" s="353">
        <v>0</v>
      </c>
      <c r="ES29" s="353">
        <v>0</v>
      </c>
      <c r="ET29" s="353"/>
      <c r="EU29" s="353"/>
      <c r="EV29" s="353"/>
      <c r="EW29" s="483">
        <f t="shared" si="118"/>
        <v>0</v>
      </c>
      <c r="EX29" s="350"/>
      <c r="EY29" s="362"/>
      <c r="EZ29" s="540"/>
      <c r="FA29" s="362" t="s">
        <v>540</v>
      </c>
      <c r="FB29" s="126">
        <f t="shared" si="88"/>
        <v>44079</v>
      </c>
      <c r="FC29" s="80"/>
      <c r="FD29" s="80"/>
      <c r="FE29" s="80"/>
      <c r="FF29" s="80"/>
      <c r="FG29" s="80"/>
      <c r="FH29" s="31" t="s">
        <v>887</v>
      </c>
      <c r="FI29" s="194">
        <f t="shared" si="89"/>
        <v>44059</v>
      </c>
      <c r="FJ29" s="194"/>
      <c r="FK29" s="31"/>
      <c r="FL29" s="31"/>
      <c r="FM29" s="31"/>
      <c r="FN29" s="31"/>
      <c r="FO29" s="31"/>
      <c r="FP29" s="31"/>
      <c r="FQ29" s="31"/>
      <c r="FR29" s="31"/>
      <c r="FS29" s="31"/>
      <c r="FT29" s="31"/>
      <c r="FU29" s="31"/>
      <c r="FV29" s="31"/>
      <c r="FW29" s="31"/>
      <c r="FX29" s="529"/>
      <c r="FY29" s="652">
        <f t="shared" si="90"/>
        <v>6236912</v>
      </c>
      <c r="FZ29" s="550">
        <f>GE29+GH29+GM29+HC29+GL29+GR29+GP29+GQ29</f>
        <v>6236912</v>
      </c>
      <c r="GA29" s="45">
        <f t="shared" si="109"/>
        <v>6236912</v>
      </c>
      <c r="GB29" s="610">
        <f>GM29+GN29+GR29+GQ29+GV29+GX29</f>
        <v>1310250</v>
      </c>
      <c r="GC29" s="28">
        <f t="shared" si="92"/>
        <v>3242.5314665682336</v>
      </c>
      <c r="GD29" s="28">
        <f t="shared" si="93"/>
        <v>62369.120000000003</v>
      </c>
      <c r="GE29" s="9">
        <v>1736993</v>
      </c>
      <c r="GF29" s="417">
        <v>1736993</v>
      </c>
      <c r="GG29" s="16">
        <f t="shared" si="110"/>
        <v>17369.93</v>
      </c>
      <c r="GH29" s="45">
        <v>3189669</v>
      </c>
      <c r="GI29" s="268"/>
      <c r="GJ29" s="268"/>
      <c r="GK29" s="407">
        <f t="shared" si="94"/>
        <v>31896.69</v>
      </c>
      <c r="GL29" s="9"/>
      <c r="GM29" s="9"/>
      <c r="GN29" s="45"/>
      <c r="GO29" s="23">
        <f t="shared" si="95"/>
        <v>0</v>
      </c>
      <c r="GP29" s="45"/>
      <c r="GQ29" s="45">
        <v>655125</v>
      </c>
      <c r="GR29" s="9">
        <f>655125</f>
        <v>655125</v>
      </c>
      <c r="GS29" s="28">
        <f t="shared" si="96"/>
        <v>0</v>
      </c>
      <c r="GT29" s="28">
        <f t="shared" si="97"/>
        <v>17369.93</v>
      </c>
      <c r="GU29" s="680"/>
      <c r="GV29" s="680"/>
      <c r="GW29" s="680">
        <f t="shared" si="126"/>
        <v>17369.93</v>
      </c>
      <c r="GX29" s="680"/>
      <c r="GY29" s="680">
        <f t="shared" si="98"/>
        <v>17369.93</v>
      </c>
      <c r="GZ29" s="681">
        <f t="shared" si="111"/>
        <v>0.27850208564751272</v>
      </c>
      <c r="HA29" s="680"/>
      <c r="HB29" s="680"/>
      <c r="HC29" s="9">
        <f>ES29</f>
        <v>0</v>
      </c>
      <c r="HD29" s="610">
        <v>4846748.1499999994</v>
      </c>
      <c r="HE29" s="608">
        <f t="shared" si="99"/>
        <v>0.77710702828579259</v>
      </c>
      <c r="HF29" s="616">
        <f t="shared" si="100"/>
        <v>1390163.8500000006</v>
      </c>
      <c r="HG29" s="602">
        <f t="shared" ca="1" si="101"/>
        <v>1390163.8500000006</v>
      </c>
      <c r="HH29" s="608">
        <f ca="1">(HD29+HG29)/FZ29</f>
        <v>1</v>
      </c>
      <c r="HI29" s="602">
        <f>'[1]GLOBAL OPERATION'!$AG$63</f>
        <v>0</v>
      </c>
      <c r="HJ29" s="602">
        <f t="shared" si="117"/>
        <v>1310250</v>
      </c>
      <c r="HK29" s="602">
        <f t="shared" si="112"/>
        <v>0</v>
      </c>
      <c r="HL29" s="608"/>
      <c r="HM29" s="673"/>
      <c r="HN29" s="62"/>
      <c r="HO29" s="673"/>
      <c r="HP29" s="673">
        <f t="shared" si="102"/>
        <v>0</v>
      </c>
      <c r="HQ29" s="539"/>
      <c r="HR29" s="539"/>
      <c r="HS29" s="539"/>
      <c r="HT29" s="539"/>
      <c r="HU29" s="539"/>
      <c r="HV29" s="673"/>
      <c r="HW29" s="673"/>
      <c r="HX29" s="539"/>
    </row>
    <row r="30" spans="1:232" ht="20.100000000000001" hidden="1" customHeight="1">
      <c r="A30" s="816" t="s">
        <v>254</v>
      </c>
      <c r="B30" s="6" t="s">
        <v>59</v>
      </c>
      <c r="C30" s="6" t="s">
        <v>92</v>
      </c>
      <c r="D30" s="6">
        <v>2016</v>
      </c>
      <c r="E30" s="6" t="s">
        <v>208</v>
      </c>
      <c r="F30" s="6" t="s">
        <v>16</v>
      </c>
      <c r="G30" s="6" t="s">
        <v>889</v>
      </c>
      <c r="H30" s="6" t="s">
        <v>137</v>
      </c>
      <c r="I30" s="31"/>
      <c r="J30" s="31" t="s">
        <v>258</v>
      </c>
      <c r="K30" s="180"/>
      <c r="L30" s="111"/>
      <c r="M30" s="67"/>
      <c r="N30" s="68"/>
      <c r="O30" s="142">
        <v>5130</v>
      </c>
      <c r="P30" s="142">
        <v>425624</v>
      </c>
      <c r="Q30" s="142">
        <v>271768</v>
      </c>
      <c r="R30" s="142">
        <f>P30/AD30</f>
        <v>15200.857142857143</v>
      </c>
      <c r="S30" s="142">
        <f t="shared" si="120"/>
        <v>82.967641325536064</v>
      </c>
      <c r="T30" s="148">
        <f t="shared" si="121"/>
        <v>52.976218323586743</v>
      </c>
      <c r="U30" s="148">
        <f t="shared" si="122"/>
        <v>144.10749415389185</v>
      </c>
      <c r="V30" s="148">
        <f t="shared" si="123"/>
        <v>9706</v>
      </c>
      <c r="W30" s="142">
        <f t="shared" si="124"/>
        <v>183.21428571428572</v>
      </c>
      <c r="X30" s="143"/>
      <c r="Y30" s="525">
        <f t="shared" si="63"/>
        <v>54.580896686159846</v>
      </c>
      <c r="Z30" s="143" t="s">
        <v>168</v>
      </c>
      <c r="AA30" s="145">
        <v>675</v>
      </c>
      <c r="AB30" s="146"/>
      <c r="AC30" s="6" t="s">
        <v>10</v>
      </c>
      <c r="AD30" s="493">
        <f t="shared" si="64"/>
        <v>28</v>
      </c>
      <c r="AE30" s="493">
        <f t="shared" si="65"/>
        <v>28</v>
      </c>
      <c r="AF30" s="7"/>
      <c r="AG30" s="6">
        <v>28</v>
      </c>
      <c r="AH30" s="42"/>
      <c r="AI30" s="42"/>
      <c r="AJ30" s="796">
        <v>1885.87</v>
      </c>
      <c r="AK30" s="278">
        <v>1885.87</v>
      </c>
      <c r="AL30" s="586">
        <f t="shared" si="66"/>
        <v>67.352499999999992</v>
      </c>
      <c r="AM30" s="8">
        <f t="shared" si="67"/>
        <v>67.352499999999992</v>
      </c>
      <c r="AN30" s="35">
        <v>5.54</v>
      </c>
      <c r="AO30" s="35">
        <v>5.54</v>
      </c>
      <c r="AP30" s="35">
        <v>372.96841640000031</v>
      </c>
      <c r="AQ30" s="53">
        <f>4/AD30</f>
        <v>0.14285714285714285</v>
      </c>
      <c r="AR30" s="53">
        <f>7/AD30</f>
        <v>0.25</v>
      </c>
      <c r="AS30" s="53">
        <f>10/AD30</f>
        <v>0.35714285714285715</v>
      </c>
      <c r="AT30" s="53">
        <f>7/AD30</f>
        <v>0.25</v>
      </c>
      <c r="AU30" s="53"/>
      <c r="AV30" s="8"/>
      <c r="AW30" s="51"/>
      <c r="AX30" s="53"/>
      <c r="AY30" s="35">
        <v>2.5</v>
      </c>
      <c r="AZ30" s="34" t="s">
        <v>398</v>
      </c>
      <c r="BA30" s="6" t="s">
        <v>99</v>
      </c>
      <c r="BB30" s="31"/>
      <c r="BC30" s="31"/>
      <c r="BD30" s="31"/>
      <c r="BE30" s="31"/>
      <c r="BF30" s="164">
        <v>42488</v>
      </c>
      <c r="BG30" s="164"/>
      <c r="BH30" s="164">
        <v>42475</v>
      </c>
      <c r="BI30" s="164"/>
      <c r="BJ30" s="660">
        <v>42459</v>
      </c>
      <c r="BK30" s="660">
        <v>42604</v>
      </c>
      <c r="BL30" s="661">
        <v>42646</v>
      </c>
      <c r="BM30" s="659">
        <f t="shared" si="68"/>
        <v>4.833333333333333</v>
      </c>
      <c r="BN30" s="578" t="s">
        <v>235</v>
      </c>
      <c r="BO30" s="109">
        <v>42877</v>
      </c>
      <c r="BP30" s="138">
        <v>42929</v>
      </c>
      <c r="BQ30" s="655">
        <f t="shared" si="125"/>
        <v>1.7333333333333334</v>
      </c>
      <c r="BR30" s="638">
        <v>66469</v>
      </c>
      <c r="BS30" s="110">
        <v>43013</v>
      </c>
      <c r="BT30" s="110"/>
      <c r="BU30" s="202">
        <v>42948</v>
      </c>
      <c r="BV30" s="201">
        <f t="shared" si="69"/>
        <v>43678</v>
      </c>
      <c r="BW30" s="439">
        <f>9404+83662</f>
        <v>93066</v>
      </c>
      <c r="BX30" s="201" t="str">
        <f t="shared" si="104"/>
        <v>oui</v>
      </c>
      <c r="BY30" s="557">
        <f t="shared" si="105"/>
        <v>-5.7333333333333334</v>
      </c>
      <c r="BZ30" s="439" t="str">
        <f t="shared" si="106"/>
        <v>0</v>
      </c>
      <c r="CA30" s="439">
        <f t="shared" si="107"/>
        <v>93066</v>
      </c>
      <c r="CB30" s="81"/>
      <c r="CC30" s="81"/>
      <c r="CD30" s="81"/>
      <c r="CE30" s="326" t="str">
        <f t="shared" si="70"/>
        <v>0</v>
      </c>
      <c r="CF30" s="81"/>
      <c r="CG30" s="81"/>
      <c r="CH30" s="326" t="str">
        <f t="shared" si="71"/>
        <v>0</v>
      </c>
      <c r="CI30" s="81"/>
      <c r="CJ30" s="81"/>
      <c r="CK30" s="326" t="str">
        <f t="shared" si="72"/>
        <v>0</v>
      </c>
      <c r="CL30" s="81"/>
      <c r="CM30" s="81"/>
      <c r="CN30" s="326" t="str">
        <f t="shared" si="73"/>
        <v>0</v>
      </c>
      <c r="CO30" s="81"/>
      <c r="CP30" s="81"/>
      <c r="CQ30" s="326" t="str">
        <f t="shared" si="74"/>
        <v>0</v>
      </c>
      <c r="CR30" s="290"/>
      <c r="CS30" s="214"/>
      <c r="CT30" s="163"/>
      <c r="CU30" s="163">
        <v>43251</v>
      </c>
      <c r="CV30" s="597"/>
      <c r="CW30" s="163"/>
      <c r="CX30" s="282">
        <v>43263</v>
      </c>
      <c r="CY30" s="230">
        <v>2018</v>
      </c>
      <c r="CZ30" s="288">
        <f t="shared" si="75"/>
        <v>21.966666666666665</v>
      </c>
      <c r="DA30" s="326" t="str">
        <f t="shared" si="76"/>
        <v>0</v>
      </c>
      <c r="DB30" s="179">
        <v>16</v>
      </c>
      <c r="DC30" s="76">
        <f t="shared" si="77"/>
        <v>19</v>
      </c>
      <c r="DD30" s="214">
        <v>43413</v>
      </c>
      <c r="DE30" s="81">
        <v>43410</v>
      </c>
      <c r="DF30" s="326">
        <f t="shared" si="78"/>
        <v>-3</v>
      </c>
      <c r="DG30" s="459">
        <v>43484</v>
      </c>
      <c r="DH30" s="395">
        <v>43453</v>
      </c>
      <c r="DI30" s="396">
        <f t="shared" si="79"/>
        <v>-31</v>
      </c>
      <c r="DJ30" s="335">
        <v>43660</v>
      </c>
      <c r="DK30" s="337">
        <f ca="1">IF(DJ30&lt;TODAY(),TODAY(),DJ30)</f>
        <v>43950</v>
      </c>
      <c r="DL30" s="332">
        <f t="shared" ca="1" si="80"/>
        <v>290</v>
      </c>
      <c r="DM30" s="335">
        <v>43717</v>
      </c>
      <c r="DN30" s="335">
        <f ca="1">IF(DM30&lt;TODAY(),TODAY(),DM30)</f>
        <v>43950</v>
      </c>
      <c r="DO30" s="332">
        <f t="shared" ca="1" si="81"/>
        <v>233</v>
      </c>
      <c r="DP30" s="424">
        <v>43731</v>
      </c>
      <c r="DQ30" s="335">
        <f ca="1">IF(DP30&lt;TODAY(),TODAY(),DP30)</f>
        <v>43950</v>
      </c>
      <c r="DR30" s="332">
        <f t="shared" ca="1" si="82"/>
        <v>219</v>
      </c>
      <c r="DS30" s="335">
        <v>43728</v>
      </c>
      <c r="DT30" s="335">
        <f ca="1">IF(DS30&lt;TODAY(),TODAY(),DS30)</f>
        <v>43950</v>
      </c>
      <c r="DU30" s="332">
        <f t="shared" ca="1" si="83"/>
        <v>222</v>
      </c>
      <c r="DV30" s="335">
        <v>43744</v>
      </c>
      <c r="DW30" s="335">
        <f ca="1">IF(DV30&lt;TODAY(),TODAY(),DV30)</f>
        <v>43950</v>
      </c>
      <c r="DX30" s="332">
        <f t="shared" ca="1" si="84"/>
        <v>206</v>
      </c>
      <c r="DY30" s="335"/>
      <c r="DZ30" s="81"/>
      <c r="EA30" s="81"/>
      <c r="EB30" s="383">
        <f t="shared" si="85"/>
        <v>43750</v>
      </c>
      <c r="EC30" s="238">
        <v>43850</v>
      </c>
      <c r="ED30" s="468">
        <f t="shared" si="86"/>
        <v>3.3333333333333335</v>
      </c>
      <c r="EE30" s="620">
        <f t="shared" ca="1" si="127"/>
        <v>0</v>
      </c>
      <c r="EF30" s="618">
        <f t="shared" si="128"/>
        <v>44184</v>
      </c>
      <c r="EG30" s="84">
        <v>43902</v>
      </c>
      <c r="EH30" s="502" t="s">
        <v>874</v>
      </c>
      <c r="EI30" s="75"/>
      <c r="EJ30" s="293"/>
      <c r="EK30" s="533">
        <f t="shared" ref="EK30" si="129">DATE(YEAR(EB30),MONTH(EB30)+1,DAY(EB30))</f>
        <v>43781</v>
      </c>
      <c r="EL30" s="238">
        <v>43850</v>
      </c>
      <c r="EM30" s="665">
        <v>2020</v>
      </c>
      <c r="EN30" s="471">
        <f t="shared" si="108"/>
        <v>2.2999999999999998</v>
      </c>
      <c r="EO30" s="462">
        <v>10758.758830000001</v>
      </c>
      <c r="EP30" s="38">
        <f t="shared" si="87"/>
        <v>24745.145309</v>
      </c>
      <c r="EQ30" s="77"/>
      <c r="ER30" s="353">
        <v>0</v>
      </c>
      <c r="ES30" s="353">
        <v>0</v>
      </c>
      <c r="ET30" s="353">
        <f>131635.37*1.021</f>
        <v>134399.71276999998</v>
      </c>
      <c r="EU30" s="568">
        <v>131635.37</v>
      </c>
      <c r="EV30" s="353">
        <v>0</v>
      </c>
      <c r="EW30" s="483">
        <f t="shared" si="118"/>
        <v>0</v>
      </c>
      <c r="EX30" s="350"/>
      <c r="EY30" s="362"/>
      <c r="EZ30" s="540" t="s">
        <v>713</v>
      </c>
      <c r="FA30" s="362" t="s">
        <v>826</v>
      </c>
      <c r="FB30" s="126">
        <f t="shared" si="88"/>
        <v>44184</v>
      </c>
      <c r="FC30" s="80"/>
      <c r="FD30" s="81" t="s">
        <v>926</v>
      </c>
      <c r="FE30" s="80"/>
      <c r="FF30" s="80"/>
      <c r="FG30" s="80"/>
      <c r="FH30" s="31"/>
      <c r="FI30" s="194">
        <f t="shared" si="89"/>
        <v>44216</v>
      </c>
      <c r="FJ30" s="194"/>
      <c r="FK30" s="31"/>
      <c r="FL30" s="31"/>
      <c r="FM30" s="31"/>
      <c r="FN30" s="31"/>
      <c r="FO30" s="31"/>
      <c r="FP30" s="31"/>
      <c r="FQ30" s="31"/>
      <c r="FR30" s="31"/>
      <c r="FS30" s="31"/>
      <c r="FT30" s="31"/>
      <c r="FU30" s="31"/>
      <c r="FV30" s="31"/>
      <c r="FW30" s="31"/>
      <c r="FX30" s="529"/>
      <c r="FY30" s="652">
        <f t="shared" si="90"/>
        <v>4006390.0323739876</v>
      </c>
      <c r="FZ30" s="550">
        <f>GE30+GH30+GM30+HC30+GL30+GR30+GP30+GQ30+GU30-HA30</f>
        <v>4691040.0327239875</v>
      </c>
      <c r="GA30" s="500">
        <f t="shared" si="109"/>
        <v>4691040.0327239875</v>
      </c>
      <c r="GB30" s="610">
        <f>GM30+GN30+GR30+GQ30+GV30+GX30</f>
        <v>1376883.64</v>
      </c>
      <c r="GC30" s="28">
        <f t="shared" si="92"/>
        <v>2487.4673401263012</v>
      </c>
      <c r="GD30" s="28">
        <f t="shared" si="93"/>
        <v>167537.14402585669</v>
      </c>
      <c r="GE30" s="9">
        <v>1175968.0323739876</v>
      </c>
      <c r="GF30" s="417">
        <v>1263947</v>
      </c>
      <c r="GG30" s="817">
        <f t="shared" si="110"/>
        <v>41998.858299070984</v>
      </c>
      <c r="GH30" s="818">
        <f>GI30+GJ30</f>
        <v>2105582</v>
      </c>
      <c r="GI30" s="819">
        <v>405627</v>
      </c>
      <c r="GJ30" s="819">
        <v>1699955</v>
      </c>
      <c r="GK30" s="407">
        <f t="shared" si="94"/>
        <v>75199.357142857145</v>
      </c>
      <c r="GL30" s="818"/>
      <c r="GM30" s="9">
        <v>656000</v>
      </c>
      <c r="GN30" s="45"/>
      <c r="GO30" s="23">
        <f t="shared" si="95"/>
        <v>0.13984105772362695</v>
      </c>
      <c r="GP30" s="45"/>
      <c r="GQ30" s="45"/>
      <c r="GR30" s="9">
        <v>68840</v>
      </c>
      <c r="GS30" s="28">
        <f t="shared" si="96"/>
        <v>23428.571428571428</v>
      </c>
      <c r="GT30" s="28">
        <f t="shared" si="97"/>
        <v>65427.429727642411</v>
      </c>
      <c r="GU30" s="680">
        <v>878080.00034999999</v>
      </c>
      <c r="GV30" s="680">
        <v>560000</v>
      </c>
      <c r="GW30" s="680">
        <f t="shared" si="126"/>
        <v>85427.429727642419</v>
      </c>
      <c r="GX30" s="680">
        <v>92043.64</v>
      </c>
      <c r="GY30" s="680">
        <f t="shared" si="98"/>
        <v>88714.702584785278</v>
      </c>
      <c r="GZ30" s="681">
        <f t="shared" si="111"/>
        <v>0.4620823851619198</v>
      </c>
      <c r="HA30" s="680">
        <v>193430</v>
      </c>
      <c r="HB30" s="680"/>
      <c r="HC30" s="9">
        <v>0</v>
      </c>
      <c r="HD30" s="610">
        <f>1833805.88884+423682</f>
        <v>2257487.8888400001</v>
      </c>
      <c r="HE30" s="608">
        <f t="shared" si="99"/>
        <v>0.48123398502082804</v>
      </c>
      <c r="HF30" s="616">
        <f t="shared" si="100"/>
        <v>2433552.1438839873</v>
      </c>
      <c r="HG30" s="602">
        <f t="shared" ca="1" si="101"/>
        <v>2433552.1438839873</v>
      </c>
      <c r="HH30" s="608">
        <f ca="1">(HG30+HD30)/FZ30</f>
        <v>1</v>
      </c>
      <c r="HI30" s="602">
        <f>'[2]GLOBAL OPERATION'!AH55</f>
        <v>871641.46</v>
      </c>
      <c r="HJ30" s="602">
        <f t="shared" si="117"/>
        <v>505242.17999999993</v>
      </c>
      <c r="HK30" s="608">
        <f t="shared" si="112"/>
        <v>0.63305382871714566</v>
      </c>
      <c r="HL30" s="608"/>
      <c r="HM30" s="673"/>
      <c r="HN30" s="62"/>
      <c r="HO30" s="673"/>
      <c r="HP30" s="673">
        <f t="shared" si="102"/>
        <v>0</v>
      </c>
      <c r="HQ30" s="539"/>
      <c r="HR30" s="539"/>
      <c r="HS30" s="539"/>
      <c r="HT30" s="539"/>
      <c r="HU30" s="539"/>
      <c r="HV30" s="673"/>
      <c r="HW30" s="673">
        <f t="shared" ref="HW30" si="130">HV30+HP30+HO30+HM30</f>
        <v>0</v>
      </c>
      <c r="HX30" s="539"/>
    </row>
    <row r="31" spans="1:232" ht="20.100000000000001" customHeight="1">
      <c r="A31" s="841" t="s">
        <v>725</v>
      </c>
      <c r="B31" s="6" t="s">
        <v>17</v>
      </c>
      <c r="C31" s="6" t="s">
        <v>90</v>
      </c>
      <c r="D31" s="6">
        <v>2022</v>
      </c>
      <c r="E31" s="6"/>
      <c r="F31" s="6"/>
      <c r="G31" s="832"/>
      <c r="H31" s="6" t="s">
        <v>287</v>
      </c>
      <c r="I31" s="31"/>
      <c r="J31" s="31" t="s">
        <v>716</v>
      </c>
      <c r="K31" s="114"/>
      <c r="L31" s="67" t="s">
        <v>717</v>
      </c>
      <c r="M31" s="68"/>
      <c r="N31" s="846"/>
      <c r="O31" s="142">
        <f>2581+737+16444</f>
        <v>19762</v>
      </c>
      <c r="P31" s="142"/>
      <c r="Q31" s="142"/>
      <c r="R31" s="142">
        <f>P31/AD31</f>
        <v>0</v>
      </c>
      <c r="S31" s="142">
        <f>P31/O31</f>
        <v>0</v>
      </c>
      <c r="T31" s="148">
        <f>Q31/O31</f>
        <v>0</v>
      </c>
      <c r="U31" s="148" t="e">
        <f>Q31/AK31</f>
        <v>#DIV/0!</v>
      </c>
      <c r="V31" s="148">
        <f>Q31/AD31</f>
        <v>0</v>
      </c>
      <c r="W31" s="142">
        <f>O31/AD31</f>
        <v>329.36666666666667</v>
      </c>
      <c r="X31" s="143"/>
      <c r="Y31" s="525">
        <f>10000*AD31/O31</f>
        <v>30.361299463617044</v>
      </c>
      <c r="Z31" s="143"/>
      <c r="AA31" s="146"/>
      <c r="AB31" s="146"/>
      <c r="AC31" s="6" t="s">
        <v>10</v>
      </c>
      <c r="AD31" s="493">
        <f t="shared" ref="AD31:AD62" si="131">SUM(AF31:AI31)</f>
        <v>60</v>
      </c>
      <c r="AE31" s="493">
        <f t="shared" ref="AE31:AE36" si="132">AD31-AI31</f>
        <v>60</v>
      </c>
      <c r="AF31" s="7"/>
      <c r="AG31" s="6">
        <v>60</v>
      </c>
      <c r="AH31" s="42"/>
      <c r="AI31" s="759"/>
      <c r="AJ31" s="35"/>
      <c r="AK31" s="278"/>
      <c r="AL31" s="586">
        <f t="shared" ref="AL31:AL62" si="133">AJ31/AD31</f>
        <v>0</v>
      </c>
      <c r="AM31" s="8">
        <f t="shared" ref="AM31:AM62" si="134">AK31/AD31</f>
        <v>0</v>
      </c>
      <c r="AN31" s="35"/>
      <c r="AO31" s="35"/>
      <c r="AP31" s="35"/>
      <c r="AQ31" s="53"/>
      <c r="AR31" s="53"/>
      <c r="AS31" s="53"/>
      <c r="AT31" s="53"/>
      <c r="AU31" s="35"/>
      <c r="AV31" s="69"/>
      <c r="AW31" s="53"/>
      <c r="AX31" s="35"/>
      <c r="AY31" s="34"/>
      <c r="AZ31" s="34"/>
      <c r="BA31" s="6"/>
      <c r="BB31" s="31"/>
      <c r="BC31" s="31"/>
      <c r="BD31" s="31"/>
      <c r="BE31" s="31"/>
      <c r="BF31" s="126"/>
      <c r="BG31" s="126"/>
      <c r="BH31" s="71"/>
      <c r="BI31" s="71"/>
      <c r="BJ31" s="661"/>
      <c r="BK31" s="660"/>
      <c r="BL31" s="661"/>
      <c r="BM31" s="659">
        <f t="shared" ref="BM31:BM62" si="135">(DATEDIF(BJ31,BK31,"d"))/30</f>
        <v>0</v>
      </c>
      <c r="BN31" s="578" t="s">
        <v>235</v>
      </c>
      <c r="BO31" s="138"/>
      <c r="BP31" s="109"/>
      <c r="BQ31" s="654">
        <f>(DATEDIF(BO31,BP31,"d"))/30</f>
        <v>0</v>
      </c>
      <c r="BR31" s="640"/>
      <c r="BS31" s="110"/>
      <c r="BT31" s="202"/>
      <c r="BU31" s="201"/>
      <c r="BV31" s="439"/>
      <c r="BW31" s="201"/>
      <c r="BX31" s="557"/>
      <c r="BY31" s="439"/>
      <c r="BZ31" s="439"/>
      <c r="CA31" s="509"/>
      <c r="CB31" s="341"/>
      <c r="CC31" s="341"/>
      <c r="CD31" s="343"/>
      <c r="CE31" s="341" t="str">
        <f t="shared" ref="CE31:CE54" si="136">IF(AND(CC31&gt;0,CD31&gt;0),CD31-CC31,"0")</f>
        <v>0</v>
      </c>
      <c r="CF31" s="341"/>
      <c r="CG31" s="343"/>
      <c r="CH31" s="341" t="str">
        <f t="shared" ref="CH31:CH54" si="137">IF(AND(CF31&gt;0,CG31&gt;0),CG31-CF31,"0")</f>
        <v>0</v>
      </c>
      <c r="CI31" s="341"/>
      <c r="CJ31" s="343"/>
      <c r="CK31" s="341" t="str">
        <f t="shared" ref="CK31:CK54" si="138">IF(AND(CI31&gt;0,CJ31&gt;0),CJ31-CI31,"0")</f>
        <v>0</v>
      </c>
      <c r="CL31" s="341"/>
      <c r="CM31" s="343"/>
      <c r="CN31" s="344" t="str">
        <f t="shared" ref="CN31:CN54" si="139">IF(AND(CL31&gt;0,CM31&gt;0),CM31-CL31,"0")</f>
        <v>0</v>
      </c>
      <c r="CO31" s="341"/>
      <c r="CP31" s="343"/>
      <c r="CQ31" s="290" t="str">
        <f t="shared" ref="CQ31:CQ62" si="140">IF(AND(CO31&gt;0,CP31&gt;0),CP31-CO31,"0")</f>
        <v>0</v>
      </c>
      <c r="CR31" s="345"/>
      <c r="CS31" s="330"/>
      <c r="CT31" s="331"/>
      <c r="CU31" s="332"/>
      <c r="CV31" s="332" t="str">
        <f>IF(AND(CT31&gt;0,CU31&gt;0),CU31-CT31,"0")</f>
        <v>0</v>
      </c>
      <c r="CW31" s="194"/>
      <c r="CX31" s="449">
        <v>45109</v>
      </c>
      <c r="CY31" s="284"/>
      <c r="CZ31" s="284">
        <f t="shared" ref="CZ31:CZ53" si="141">(DATEDIF(BK31,CX31,"d"))/30</f>
        <v>1503.6333333333334</v>
      </c>
      <c r="DA31" s="450"/>
      <c r="DB31" s="169"/>
      <c r="DC31" s="330"/>
      <c r="DD31" s="335"/>
      <c r="DE31" s="332"/>
      <c r="DF31" s="330"/>
      <c r="DG31" s="848"/>
      <c r="DH31" s="688"/>
      <c r="DI31" s="334"/>
      <c r="DJ31" s="335"/>
      <c r="DK31" s="332"/>
      <c r="DL31" s="335"/>
      <c r="DM31" s="335"/>
      <c r="DN31" s="332"/>
      <c r="DO31" s="336"/>
      <c r="DP31" s="336"/>
      <c r="DQ31" s="332"/>
      <c r="DR31" s="335"/>
      <c r="DS31" s="335"/>
      <c r="DT31" s="332"/>
      <c r="DU31" s="335"/>
      <c r="DV31" s="335"/>
      <c r="DW31" s="332"/>
      <c r="DX31" s="335"/>
      <c r="DY31" s="335"/>
      <c r="DZ31" s="335"/>
      <c r="EA31" s="330"/>
      <c r="EB31" s="475"/>
      <c r="EC31" s="564"/>
      <c r="ED31" s="565">
        <f t="shared" ref="ED31:ED62" si="142">(EC31-EB31)/30</f>
        <v>0</v>
      </c>
      <c r="EE31" s="622">
        <f ca="1">IF(((EC31-TODAY())/30)&lt;0,0,(EC31-TODAY())/30)</f>
        <v>0</v>
      </c>
      <c r="EF31" s="475">
        <f>DATE(YEAR(DH31)+2,MONTH(DH31),DAY(DH31))</f>
        <v>731</v>
      </c>
      <c r="EG31" s="526"/>
      <c r="EH31" s="526"/>
      <c r="EI31" s="526">
        <f>DATE(YEAR(EC31),MONTH(EC31)+4,DAY(EC31)+2)</f>
        <v>123</v>
      </c>
      <c r="EJ31" s="295"/>
      <c r="EK31" s="534">
        <f>DATE(YEAR(EB31),MONTH(EB31)+1,DAY(EB31))</f>
        <v>31</v>
      </c>
      <c r="EL31" s="476">
        <f>DATE(YEAR(EC31),MONTH(EC31)+1,DAY(EC31))</f>
        <v>31</v>
      </c>
      <c r="EM31" s="368"/>
      <c r="EN31" s="471">
        <f>(EL31-EK31)/30</f>
        <v>0</v>
      </c>
      <c r="EO31" s="461"/>
      <c r="EP31" s="173">
        <f>EO31*EN31</f>
        <v>0</v>
      </c>
      <c r="EQ31" s="353"/>
      <c r="ER31" s="353"/>
      <c r="ES31" s="353"/>
      <c r="ET31" s="353"/>
      <c r="EU31" s="353"/>
      <c r="EV31" s="483"/>
      <c r="EW31" s="483" t="e">
        <f>EV31/FZ31</f>
        <v>#DIV/0!</v>
      </c>
      <c r="EX31" s="362"/>
      <c r="EY31" s="350"/>
      <c r="EZ31" s="350"/>
      <c r="FA31" s="350"/>
      <c r="FB31" s="126">
        <f t="shared" ref="FB31:FB54" si="143">DATE(YEAR(DH31),MONTH(DH31)+24,DAY(DH31))</f>
        <v>731</v>
      </c>
      <c r="FC31" s="80"/>
      <c r="FD31" s="80"/>
      <c r="FE31" s="80"/>
      <c r="FF31" s="80"/>
      <c r="FG31" s="31"/>
      <c r="FH31" s="194"/>
      <c r="FI31" s="194">
        <f t="shared" ref="FI31:FI41" si="144">DATE(YEAR(EC31)+1,MONTH(EC31),DAY(EC31))</f>
        <v>366</v>
      </c>
      <c r="FJ31" s="31"/>
      <c r="FK31" s="31"/>
      <c r="FL31" s="31"/>
      <c r="FM31" s="31"/>
      <c r="FN31" s="31"/>
      <c r="FO31" s="31"/>
      <c r="FP31" s="31"/>
      <c r="FQ31" s="31"/>
      <c r="FR31" s="31"/>
      <c r="FS31" s="31"/>
      <c r="FT31" s="31"/>
      <c r="FU31" s="31"/>
      <c r="FV31" s="31"/>
      <c r="FW31" s="31"/>
      <c r="FX31" s="529"/>
      <c r="FY31" s="652">
        <f t="shared" ref="FY31:FY62" si="145">GE31+GH31+GM31+HC31+GL31+GR31+GP31+GQ31</f>
        <v>0</v>
      </c>
      <c r="FZ31" s="550">
        <f t="shared" ref="FZ31:FZ70" si="146">GE31+GH31+GM31+HC31+GL31+GR31+GP31+GQ31</f>
        <v>0</v>
      </c>
      <c r="GA31" s="45">
        <f>FZ31</f>
        <v>0</v>
      </c>
      <c r="GB31" s="602">
        <f>GM31+GN31+GR31+GV31</f>
        <v>0</v>
      </c>
      <c r="GC31" s="28" t="e">
        <f t="shared" ref="GC31:GC62" si="147">FZ31/AK31</f>
        <v>#DIV/0!</v>
      </c>
      <c r="GD31" s="28">
        <f>FZ31/AD31</f>
        <v>0</v>
      </c>
      <c r="GE31" s="9"/>
      <c r="GF31" s="417"/>
      <c r="GG31" s="16">
        <f>GE31/AD31</f>
        <v>0</v>
      </c>
      <c r="GH31" s="9">
        <f>GI31+GJ31</f>
        <v>0</v>
      </c>
      <c r="GI31" s="10"/>
      <c r="GJ31" s="10"/>
      <c r="GK31" s="407">
        <f>GH31/AD31</f>
        <v>0</v>
      </c>
      <c r="GL31" s="9"/>
      <c r="GM31" s="9"/>
      <c r="GN31" s="60"/>
      <c r="GO31" s="23" t="e">
        <f t="shared" ref="GO31:GO62" si="148">GM31/FZ31</f>
        <v>#DIV/0!</v>
      </c>
      <c r="GP31" s="45"/>
      <c r="GQ31" s="45"/>
      <c r="GR31" s="9"/>
      <c r="GS31" s="28"/>
      <c r="GT31" s="28"/>
      <c r="GU31" s="680"/>
      <c r="GV31" s="680"/>
      <c r="GW31" s="680"/>
      <c r="GX31" s="680"/>
      <c r="GY31" s="680"/>
      <c r="GZ31" s="681"/>
      <c r="HA31" s="680"/>
      <c r="HB31" s="680"/>
      <c r="HC31" s="9"/>
      <c r="HD31" s="602"/>
      <c r="HE31" s="608" t="e">
        <f t="shared" ref="HE31:HE36" si="149">HD31/FZ31</f>
        <v>#DIV/0!</v>
      </c>
      <c r="HF31" s="602">
        <f t="shared" ref="HF31:HF36" si="150">FZ31-HD31</f>
        <v>0</v>
      </c>
      <c r="HG31" s="602">
        <f t="shared" ref="HG31:HG36" ca="1" si="151">IF(EE31&lt;DATEDIF(TODAY(),$HG$1,"M"),HF31,(HF31/EE31*DATEDIF(TODAY(),$HG$1,"M")))</f>
        <v>0</v>
      </c>
      <c r="HH31" s="608" t="e">
        <f ca="1">(HD31+HG31)/FZ31</f>
        <v>#DIV/0!</v>
      </c>
      <c r="HI31" s="602"/>
      <c r="HJ31" s="602">
        <f t="shared" ref="HJ31:HJ36" si="152">GB31-HI31</f>
        <v>0</v>
      </c>
      <c r="HK31" s="602" t="e">
        <f t="shared" ref="HK31:HK36" si="153">HI31/GB31</f>
        <v>#DIV/0!</v>
      </c>
      <c r="HL31" s="602"/>
      <c r="HM31" s="673"/>
      <c r="HN31" s="62"/>
      <c r="HO31" s="673"/>
      <c r="HP31" s="673">
        <f t="shared" ref="HP31:HP36" si="154">HQ31+HR31+HS31+HT31+HU31</f>
        <v>0</v>
      </c>
      <c r="HQ31" s="539"/>
      <c r="HR31" s="539"/>
      <c r="HS31" s="539"/>
      <c r="HT31" s="539"/>
      <c r="HU31" s="539"/>
      <c r="HV31" s="686"/>
      <c r="HW31" s="673">
        <f t="shared" ref="HW31:HW36" si="155">HV31+HP31+HO31+HM31</f>
        <v>0</v>
      </c>
      <c r="HX31" s="539"/>
    </row>
    <row r="32" spans="1:232" ht="30" customHeight="1">
      <c r="A32" s="841" t="s">
        <v>732</v>
      </c>
      <c r="B32" s="6" t="s">
        <v>21</v>
      </c>
      <c r="C32" s="6" t="s">
        <v>90</v>
      </c>
      <c r="D32" s="6">
        <v>2024</v>
      </c>
      <c r="E32" s="6"/>
      <c r="F32" s="6"/>
      <c r="G32" s="6"/>
      <c r="H32" s="6"/>
      <c r="I32" s="31"/>
      <c r="J32" s="31" t="s">
        <v>732</v>
      </c>
      <c r="K32" s="180"/>
      <c r="L32" s="111"/>
      <c r="M32" s="67"/>
      <c r="N32" s="68"/>
      <c r="O32" s="142">
        <v>5375</v>
      </c>
      <c r="P32" s="142"/>
      <c r="Q32" s="142"/>
      <c r="R32" s="142">
        <f>P32/AD32</f>
        <v>0</v>
      </c>
      <c r="S32" s="142">
        <f>P32/O32</f>
        <v>0</v>
      </c>
      <c r="T32" s="148">
        <f>Q32/O32</f>
        <v>0</v>
      </c>
      <c r="U32" s="148" t="e">
        <f>Q32/AK32</f>
        <v>#DIV/0!</v>
      </c>
      <c r="V32" s="148">
        <f>Q32/AD32</f>
        <v>0</v>
      </c>
      <c r="W32" s="142">
        <f>O32/AD32</f>
        <v>111.97916666666667</v>
      </c>
      <c r="X32" s="143"/>
      <c r="Y32" s="525">
        <f>10000*AD32/O32</f>
        <v>89.302325581395351</v>
      </c>
      <c r="Z32" s="143"/>
      <c r="AA32" s="145">
        <v>580</v>
      </c>
      <c r="AB32" s="146">
        <v>0.15</v>
      </c>
      <c r="AC32" s="15" t="s">
        <v>10</v>
      </c>
      <c r="AD32" s="493">
        <f t="shared" si="131"/>
        <v>48</v>
      </c>
      <c r="AE32" s="493">
        <f t="shared" si="132"/>
        <v>48</v>
      </c>
      <c r="AF32" s="6">
        <v>48</v>
      </c>
      <c r="AG32" s="7"/>
      <c r="AH32" s="42"/>
      <c r="AI32" s="42"/>
      <c r="AJ32" s="797"/>
      <c r="AK32" s="278"/>
      <c r="AL32" s="586">
        <f t="shared" si="133"/>
        <v>0</v>
      </c>
      <c r="AM32" s="8">
        <f t="shared" si="134"/>
        <v>0</v>
      </c>
      <c r="AN32" s="35"/>
      <c r="AO32" s="35"/>
      <c r="AP32" s="35"/>
      <c r="AQ32" s="53"/>
      <c r="AR32" s="53"/>
      <c r="AS32" s="53"/>
      <c r="AT32" s="53"/>
      <c r="AU32" s="53"/>
      <c r="AV32" s="8"/>
      <c r="AW32" s="51"/>
      <c r="AX32" s="53"/>
      <c r="AY32" s="35"/>
      <c r="AZ32" s="34"/>
      <c r="BA32" s="6"/>
      <c r="BB32" s="31"/>
      <c r="BC32" s="31"/>
      <c r="BD32" s="31"/>
      <c r="BE32" s="31"/>
      <c r="BF32" s="126"/>
      <c r="BG32" s="126"/>
      <c r="BH32" s="31"/>
      <c r="BI32" s="31"/>
      <c r="BJ32" s="660"/>
      <c r="BK32" s="660"/>
      <c r="BL32" s="661"/>
      <c r="BM32" s="659">
        <f t="shared" si="135"/>
        <v>0</v>
      </c>
      <c r="BN32" s="578" t="s">
        <v>235</v>
      </c>
      <c r="BO32" s="109"/>
      <c r="BP32" s="138"/>
      <c r="BQ32" s="654">
        <f>(DATEDIF(BO32,BP32,"d"))/30</f>
        <v>0</v>
      </c>
      <c r="BR32" s="638"/>
      <c r="BS32" s="110"/>
      <c r="BT32" s="110"/>
      <c r="BU32" s="202"/>
      <c r="BV32" s="201"/>
      <c r="BW32" s="439"/>
      <c r="BX32" s="201"/>
      <c r="BY32" s="557"/>
      <c r="BZ32" s="439"/>
      <c r="CA32" s="439"/>
      <c r="CB32" s="341"/>
      <c r="CC32" s="341"/>
      <c r="CD32" s="341"/>
      <c r="CE32" s="343" t="str">
        <f t="shared" si="136"/>
        <v>0</v>
      </c>
      <c r="CF32" s="341"/>
      <c r="CG32" s="341"/>
      <c r="CH32" s="343" t="str">
        <f t="shared" si="137"/>
        <v>0</v>
      </c>
      <c r="CI32" s="341"/>
      <c r="CJ32" s="341"/>
      <c r="CK32" s="343" t="str">
        <f t="shared" si="138"/>
        <v>0</v>
      </c>
      <c r="CL32" s="341"/>
      <c r="CM32" s="341"/>
      <c r="CN32" s="343" t="str">
        <f t="shared" si="139"/>
        <v>0</v>
      </c>
      <c r="CO32" s="341"/>
      <c r="CP32" s="341"/>
      <c r="CQ32" s="343" t="str">
        <f t="shared" si="140"/>
        <v>0</v>
      </c>
      <c r="CR32" s="290"/>
      <c r="CS32" s="342"/>
      <c r="CT32" s="330"/>
      <c r="CU32" s="331"/>
      <c r="CV32" s="332"/>
      <c r="CW32" s="330"/>
      <c r="CX32" s="449">
        <v>45125</v>
      </c>
      <c r="CY32" s="233"/>
      <c r="CZ32" s="284">
        <f t="shared" si="141"/>
        <v>1504.1666666666667</v>
      </c>
      <c r="DA32" s="332"/>
      <c r="DB32" s="450"/>
      <c r="DC32" s="169"/>
      <c r="DD32" s="330"/>
      <c r="DE32" s="335"/>
      <c r="DF32" s="332"/>
      <c r="DG32" s="792"/>
      <c r="DH32" s="335"/>
      <c r="DI32" s="333"/>
      <c r="DJ32" s="334"/>
      <c r="DK32" s="335"/>
      <c r="DL32" s="332"/>
      <c r="DM32" s="335"/>
      <c r="DN32" s="335"/>
      <c r="DO32" s="332"/>
      <c r="DP32" s="336"/>
      <c r="DQ32" s="336"/>
      <c r="DR32" s="332"/>
      <c r="DS32" s="335"/>
      <c r="DT32" s="335"/>
      <c r="DU32" s="332"/>
      <c r="DV32" s="335"/>
      <c r="DW32" s="335"/>
      <c r="DX32" s="332"/>
      <c r="DY32" s="335"/>
      <c r="DZ32" s="335"/>
      <c r="EA32" s="335"/>
      <c r="EB32" s="477"/>
      <c r="EC32" s="476"/>
      <c r="ED32" s="473">
        <f t="shared" si="142"/>
        <v>0</v>
      </c>
      <c r="EE32" s="622">
        <f ca="1">IF(((EC32-TODAY())/30)&lt;0,0,(EC32-TODAY())/30)</f>
        <v>0</v>
      </c>
      <c r="EF32" s="475">
        <f>DATE(YEAR(DH32)+2,MONTH(DH32),DAY(DH32))</f>
        <v>731</v>
      </c>
      <c r="EG32" s="526"/>
      <c r="EH32" s="526"/>
      <c r="EI32" s="526"/>
      <c r="EJ32" s="295"/>
      <c r="EK32" s="534"/>
      <c r="EL32" s="476">
        <f>DATE(YEAR(EC32),MONTH(EC32)+1,DAY(EC32))</f>
        <v>31</v>
      </c>
      <c r="EM32" s="368"/>
      <c r="EN32" s="471"/>
      <c r="EO32" s="461"/>
      <c r="EP32" s="173"/>
      <c r="EQ32" s="77"/>
      <c r="ER32" s="353"/>
      <c r="ES32" s="353"/>
      <c r="ET32" s="353"/>
      <c r="EU32" s="353"/>
      <c r="EV32" s="353"/>
      <c r="EW32" s="483"/>
      <c r="EX32" s="350"/>
      <c r="EY32" s="362"/>
      <c r="EZ32" s="350"/>
      <c r="FA32" s="350"/>
      <c r="FB32" s="126">
        <f t="shared" si="143"/>
        <v>731</v>
      </c>
      <c r="FC32" s="80"/>
      <c r="FD32" s="80"/>
      <c r="FE32" s="80"/>
      <c r="FF32" s="80"/>
      <c r="FG32" s="80"/>
      <c r="FH32" s="31"/>
      <c r="FI32" s="194">
        <f t="shared" si="144"/>
        <v>366</v>
      </c>
      <c r="FJ32" s="194"/>
      <c r="FK32" s="31"/>
      <c r="FL32" s="31"/>
      <c r="FM32" s="31"/>
      <c r="FN32" s="31"/>
      <c r="FO32" s="31"/>
      <c r="FP32" s="31"/>
      <c r="FQ32" s="31"/>
      <c r="FR32" s="31"/>
      <c r="FS32" s="31"/>
      <c r="FT32" s="31"/>
      <c r="FU32" s="31"/>
      <c r="FV32" s="31"/>
      <c r="FW32" s="31"/>
      <c r="FX32" s="529"/>
      <c r="FY32" s="652">
        <f t="shared" si="145"/>
        <v>0</v>
      </c>
      <c r="FZ32" s="550">
        <f t="shared" si="146"/>
        <v>0</v>
      </c>
      <c r="GA32" s="45"/>
      <c r="GB32" s="602">
        <f>GM32+GN32+GR32+GV32</f>
        <v>0</v>
      </c>
      <c r="GC32" s="28" t="e">
        <f t="shared" si="147"/>
        <v>#DIV/0!</v>
      </c>
      <c r="GD32" s="28"/>
      <c r="GE32" s="9"/>
      <c r="GF32" s="417"/>
      <c r="GG32" s="16"/>
      <c r="GH32" s="9">
        <f>GI32+GJ32</f>
        <v>0</v>
      </c>
      <c r="GI32" s="10"/>
      <c r="GJ32" s="10"/>
      <c r="GK32" s="407"/>
      <c r="GL32" s="9"/>
      <c r="GM32" s="9"/>
      <c r="GN32" s="45"/>
      <c r="GO32" s="23" t="e">
        <f t="shared" si="148"/>
        <v>#DIV/0!</v>
      </c>
      <c r="GP32" s="45"/>
      <c r="GQ32" s="45"/>
      <c r="GR32" s="9"/>
      <c r="GS32" s="28"/>
      <c r="GT32" s="28"/>
      <c r="GU32" s="680"/>
      <c r="GV32" s="680"/>
      <c r="GW32" s="680"/>
      <c r="GX32" s="680"/>
      <c r="GY32" s="680"/>
      <c r="GZ32" s="681"/>
      <c r="HA32" s="680"/>
      <c r="HB32" s="680"/>
      <c r="HC32" s="9"/>
      <c r="HD32" s="602"/>
      <c r="HE32" s="608" t="e">
        <f t="shared" si="149"/>
        <v>#DIV/0!</v>
      </c>
      <c r="HF32" s="602">
        <f t="shared" si="150"/>
        <v>0</v>
      </c>
      <c r="HG32" s="602">
        <f t="shared" ca="1" si="151"/>
        <v>0</v>
      </c>
      <c r="HH32" s="608" t="e">
        <f ca="1">(HD32+HG32)/FZ32</f>
        <v>#DIV/0!</v>
      </c>
      <c r="HI32" s="602"/>
      <c r="HJ32" s="602">
        <f t="shared" si="152"/>
        <v>0</v>
      </c>
      <c r="HK32" s="602" t="e">
        <f t="shared" si="153"/>
        <v>#DIV/0!</v>
      </c>
      <c r="HL32" s="602"/>
      <c r="HM32" s="673"/>
      <c r="HN32" s="62"/>
      <c r="HO32" s="673"/>
      <c r="HP32" s="673">
        <f t="shared" si="154"/>
        <v>0</v>
      </c>
      <c r="HQ32" s="539"/>
      <c r="HR32" s="539"/>
      <c r="HS32" s="539"/>
      <c r="HT32" s="539"/>
      <c r="HU32" s="539"/>
      <c r="HV32" s="673"/>
      <c r="HW32" s="673">
        <f t="shared" si="155"/>
        <v>0</v>
      </c>
      <c r="HX32" s="539"/>
    </row>
    <row r="33" spans="1:232" ht="20.100000000000001" customHeight="1">
      <c r="A33" s="842" t="s">
        <v>739</v>
      </c>
      <c r="B33" s="6" t="s">
        <v>14</v>
      </c>
      <c r="C33" s="6" t="s">
        <v>90</v>
      </c>
      <c r="D33" s="6">
        <v>2022</v>
      </c>
      <c r="E33" s="6"/>
      <c r="F33" s="6"/>
      <c r="G33" s="6"/>
      <c r="H33" s="832"/>
      <c r="I33" s="31"/>
      <c r="J33" s="31" t="s">
        <v>739</v>
      </c>
      <c r="K33" s="180"/>
      <c r="L33" s="111"/>
      <c r="M33" s="67"/>
      <c r="N33" s="68"/>
      <c r="O33" s="142"/>
      <c r="P33" s="142"/>
      <c r="Q33" s="142"/>
      <c r="R33" s="142"/>
      <c r="S33" s="142"/>
      <c r="T33" s="148"/>
      <c r="U33" s="148"/>
      <c r="V33" s="148"/>
      <c r="W33" s="142"/>
      <c r="X33" s="143"/>
      <c r="Y33" s="525" t="e">
        <f>10000*AD33/O33</f>
        <v>#DIV/0!</v>
      </c>
      <c r="Z33" s="143"/>
      <c r="AA33" s="145"/>
      <c r="AB33" s="146"/>
      <c r="AC33" s="6" t="s">
        <v>10</v>
      </c>
      <c r="AD33" s="493">
        <f t="shared" si="131"/>
        <v>50</v>
      </c>
      <c r="AE33" s="493">
        <f t="shared" si="132"/>
        <v>50</v>
      </c>
      <c r="AF33" s="7"/>
      <c r="AG33" s="6">
        <v>50</v>
      </c>
      <c r="AH33" s="42"/>
      <c r="AI33" s="42"/>
      <c r="AJ33" s="797"/>
      <c r="AK33" s="278"/>
      <c r="AL33" s="586">
        <f t="shared" si="133"/>
        <v>0</v>
      </c>
      <c r="AM33" s="8">
        <f t="shared" si="134"/>
        <v>0</v>
      </c>
      <c r="AN33" s="35"/>
      <c r="AO33" s="35"/>
      <c r="AP33" s="35"/>
      <c r="AQ33" s="53"/>
      <c r="AR33" s="53"/>
      <c r="AS33" s="53"/>
      <c r="AT33" s="53"/>
      <c r="AU33" s="53"/>
      <c r="AV33" s="8"/>
      <c r="AW33" s="51"/>
      <c r="AX33" s="53"/>
      <c r="AY33" s="35"/>
      <c r="AZ33" s="34"/>
      <c r="BA33" s="6"/>
      <c r="BB33" s="31"/>
      <c r="BC33" s="31"/>
      <c r="BD33" s="31"/>
      <c r="BE33" s="31"/>
      <c r="BF33" s="165"/>
      <c r="BG33" s="165"/>
      <c r="BH33" s="126"/>
      <c r="BI33" s="126"/>
      <c r="BJ33" s="660"/>
      <c r="BK33" s="660"/>
      <c r="BL33" s="661"/>
      <c r="BM33" s="659">
        <f t="shared" si="135"/>
        <v>0</v>
      </c>
      <c r="BN33" s="578" t="s">
        <v>235</v>
      </c>
      <c r="BO33" s="109"/>
      <c r="BP33" s="138"/>
      <c r="BQ33" s="654">
        <f>(DATEDIF(BO33,BP33,"d"))/30</f>
        <v>0</v>
      </c>
      <c r="BR33" s="638"/>
      <c r="BS33" s="110"/>
      <c r="BT33" s="110"/>
      <c r="BU33" s="202"/>
      <c r="BV33" s="201"/>
      <c r="BW33" s="439"/>
      <c r="BX33" s="201"/>
      <c r="BY33" s="557"/>
      <c r="BZ33" s="439"/>
      <c r="CA33" s="439"/>
      <c r="CB33" s="339"/>
      <c r="CC33" s="341"/>
      <c r="CD33" s="341"/>
      <c r="CE33" s="343" t="str">
        <f t="shared" si="136"/>
        <v>0</v>
      </c>
      <c r="CF33" s="341"/>
      <c r="CG33" s="341"/>
      <c r="CH33" s="343" t="str">
        <f t="shared" si="137"/>
        <v>0</v>
      </c>
      <c r="CI33" s="341"/>
      <c r="CJ33" s="341"/>
      <c r="CK33" s="343" t="str">
        <f t="shared" si="138"/>
        <v>0</v>
      </c>
      <c r="CL33" s="341"/>
      <c r="CM33" s="341"/>
      <c r="CN33" s="343" t="str">
        <f t="shared" si="139"/>
        <v>0</v>
      </c>
      <c r="CO33" s="341"/>
      <c r="CP33" s="341"/>
      <c r="CQ33" s="343" t="str">
        <f t="shared" si="140"/>
        <v>0</v>
      </c>
      <c r="CR33" s="290"/>
      <c r="CS33" s="345"/>
      <c r="CT33" s="330"/>
      <c r="CU33" s="331"/>
      <c r="CV33" s="332" t="str">
        <f>IF(AND(CT33&gt;0,CU33&gt;0),CU33-CT33,"0")</f>
        <v>0</v>
      </c>
      <c r="CW33" s="330"/>
      <c r="CX33" s="449">
        <v>45128</v>
      </c>
      <c r="CY33" s="233"/>
      <c r="CZ33" s="284">
        <f t="shared" si="141"/>
        <v>1504.2666666666667</v>
      </c>
      <c r="DA33" s="332"/>
      <c r="DB33" s="450"/>
      <c r="DC33" s="169"/>
      <c r="DD33" s="330"/>
      <c r="DE33" s="335"/>
      <c r="DF33" s="332"/>
      <c r="DG33" s="792"/>
      <c r="DH33" s="348"/>
      <c r="DI33" s="333"/>
      <c r="DJ33" s="334"/>
      <c r="DK33" s="335"/>
      <c r="DL33" s="332"/>
      <c r="DM33" s="335"/>
      <c r="DN33" s="335"/>
      <c r="DO33" s="332"/>
      <c r="DP33" s="336"/>
      <c r="DQ33" s="336"/>
      <c r="DR33" s="332"/>
      <c r="DS33" s="335"/>
      <c r="DT33" s="335"/>
      <c r="DU33" s="332"/>
      <c r="DV33" s="335"/>
      <c r="DW33" s="335"/>
      <c r="DX33" s="332"/>
      <c r="DY33" s="335"/>
      <c r="DZ33" s="335"/>
      <c r="EA33" s="335"/>
      <c r="EB33" s="477"/>
      <c r="EC33" s="476"/>
      <c r="ED33" s="473">
        <f t="shared" si="142"/>
        <v>0</v>
      </c>
      <c r="EE33" s="622">
        <f ca="1">IF(((EC33-TODAY())/30)&lt;0,0,(EC33-TODAY())/30)</f>
        <v>0</v>
      </c>
      <c r="EF33" s="475">
        <f>DATE(YEAR(DH33)+2,MONTH(DH33),DAY(DH33))</f>
        <v>731</v>
      </c>
      <c r="EG33" s="526"/>
      <c r="EH33" s="526"/>
      <c r="EI33" s="526">
        <f>DATE(YEAR(EC33),MONTH(EC33)+4,DAY(EC33)+2)</f>
        <v>123</v>
      </c>
      <c r="EJ33" s="295"/>
      <c r="EK33" s="534">
        <f>DATE(YEAR(EB33),MONTH(EB33)+1,DAY(EB33))</f>
        <v>31</v>
      </c>
      <c r="EL33" s="476">
        <f>DATE(YEAR(EC33),MONTH(EC33)+1,DAY(EC33))</f>
        <v>31</v>
      </c>
      <c r="EM33" s="368"/>
      <c r="EN33" s="471">
        <f>(EL33-EK33)/30</f>
        <v>0</v>
      </c>
      <c r="EO33" s="457"/>
      <c r="EP33" s="173">
        <f>EO33*EN33</f>
        <v>0</v>
      </c>
      <c r="EQ33" s="77"/>
      <c r="ER33" s="690"/>
      <c r="ES33" s="353"/>
      <c r="ET33" s="353"/>
      <c r="EU33" s="353"/>
      <c r="EV33" s="690"/>
      <c r="EW33" s="483" t="e">
        <f>EV33/FZ33</f>
        <v>#DIV/0!</v>
      </c>
      <c r="EX33" s="594"/>
      <c r="EY33" s="596"/>
      <c r="EZ33" s="350"/>
      <c r="FA33" s="594"/>
      <c r="FB33" s="126">
        <f t="shared" si="143"/>
        <v>731</v>
      </c>
      <c r="FC33" s="80"/>
      <c r="FD33" s="80"/>
      <c r="FE33" s="80"/>
      <c r="FF33" s="80"/>
      <c r="FG33" s="80"/>
      <c r="FH33" s="31"/>
      <c r="FI33" s="194">
        <f t="shared" si="144"/>
        <v>366</v>
      </c>
      <c r="FJ33" s="194"/>
      <c r="FK33" s="31"/>
      <c r="FL33" s="31"/>
      <c r="FM33" s="31"/>
      <c r="FN33" s="31"/>
      <c r="FO33" s="31"/>
      <c r="FP33" s="31"/>
      <c r="FQ33" s="31"/>
      <c r="FR33" s="31"/>
      <c r="FS33" s="31"/>
      <c r="FT33" s="31"/>
      <c r="FU33" s="31"/>
      <c r="FV33" s="31"/>
      <c r="FW33" s="31"/>
      <c r="FX33" s="529"/>
      <c r="FY33" s="652">
        <f t="shared" si="145"/>
        <v>0</v>
      </c>
      <c r="FZ33" s="550">
        <f t="shared" si="146"/>
        <v>0</v>
      </c>
      <c r="GA33" s="45">
        <f>FZ33</f>
        <v>0</v>
      </c>
      <c r="GB33" s="602">
        <f>GM33+GN33+GR33+GV33</f>
        <v>0</v>
      </c>
      <c r="GC33" s="28" t="e">
        <f t="shared" si="147"/>
        <v>#DIV/0!</v>
      </c>
      <c r="GD33" s="28">
        <f>FZ33/AD33</f>
        <v>0</v>
      </c>
      <c r="GE33" s="9"/>
      <c r="GF33" s="417"/>
      <c r="GG33" s="16">
        <f>GE33/AD33</f>
        <v>0</v>
      </c>
      <c r="GH33" s="9">
        <f>GI33+GJ33</f>
        <v>0</v>
      </c>
      <c r="GI33" s="10"/>
      <c r="GJ33" s="10"/>
      <c r="GK33" s="407">
        <f>GH33/AD33</f>
        <v>0</v>
      </c>
      <c r="GL33" s="9"/>
      <c r="GM33" s="9"/>
      <c r="GN33" s="45"/>
      <c r="GO33" s="23" t="e">
        <f t="shared" si="148"/>
        <v>#DIV/0!</v>
      </c>
      <c r="GP33" s="45"/>
      <c r="GQ33" s="45"/>
      <c r="GR33" s="9"/>
      <c r="GS33" s="28"/>
      <c r="GT33" s="28"/>
      <c r="GU33" s="680"/>
      <c r="GV33" s="680"/>
      <c r="GW33" s="680"/>
      <c r="GX33" s="680"/>
      <c r="GY33" s="680"/>
      <c r="GZ33" s="681"/>
      <c r="HA33" s="680"/>
      <c r="HB33" s="680"/>
      <c r="HC33" s="9"/>
      <c r="HD33" s="602"/>
      <c r="HE33" s="608" t="e">
        <f t="shared" si="149"/>
        <v>#DIV/0!</v>
      </c>
      <c r="HF33" s="602">
        <f t="shared" si="150"/>
        <v>0</v>
      </c>
      <c r="HG33" s="602">
        <f t="shared" ca="1" si="151"/>
        <v>0</v>
      </c>
      <c r="HH33" s="608" t="e">
        <f ca="1">(HD33+HG33)/FZ33</f>
        <v>#DIV/0!</v>
      </c>
      <c r="HI33" s="602"/>
      <c r="HJ33" s="602">
        <f t="shared" si="152"/>
        <v>0</v>
      </c>
      <c r="HK33" s="602" t="e">
        <f t="shared" si="153"/>
        <v>#DIV/0!</v>
      </c>
      <c r="HL33" s="602"/>
      <c r="HM33" s="673"/>
      <c r="HN33" s="62"/>
      <c r="HO33" s="673"/>
      <c r="HP33" s="673">
        <f t="shared" si="154"/>
        <v>0</v>
      </c>
      <c r="HQ33" s="539"/>
      <c r="HR33" s="539"/>
      <c r="HS33" s="539"/>
      <c r="HT33" s="539"/>
      <c r="HU33" s="539"/>
      <c r="HV33" s="673"/>
      <c r="HW33" s="673">
        <f t="shared" si="155"/>
        <v>0</v>
      </c>
      <c r="HX33" s="539"/>
    </row>
    <row r="34" spans="1:232" ht="20.100000000000001" hidden="1" customHeight="1">
      <c r="A34" s="57" t="s">
        <v>676</v>
      </c>
      <c r="B34" s="6" t="s">
        <v>21</v>
      </c>
      <c r="C34" s="6" t="s">
        <v>90</v>
      </c>
      <c r="D34" s="6">
        <v>2012</v>
      </c>
      <c r="E34" s="6" t="s">
        <v>66</v>
      </c>
      <c r="F34" s="6"/>
      <c r="G34" s="490"/>
      <c r="H34" s="6" t="s">
        <v>187</v>
      </c>
      <c r="I34" s="31"/>
      <c r="J34" s="31"/>
      <c r="K34" s="270" t="s">
        <v>420</v>
      </c>
      <c r="L34" s="108"/>
      <c r="M34" s="108"/>
      <c r="N34" s="108"/>
      <c r="O34" s="142">
        <v>12495</v>
      </c>
      <c r="P34" s="142">
        <v>825000</v>
      </c>
      <c r="Q34" s="142">
        <v>546365</v>
      </c>
      <c r="R34" s="142">
        <f>P34/AD34</f>
        <v>12692.307692307691</v>
      </c>
      <c r="S34" s="142">
        <f>P34/O34</f>
        <v>66.026410564225685</v>
      </c>
      <c r="T34" s="142">
        <f>Q34/O34</f>
        <v>43.726690676270508</v>
      </c>
      <c r="U34" s="142">
        <f>Q34/AK34</f>
        <v>102.26067849365454</v>
      </c>
      <c r="V34" s="142">
        <f>Q34/AD34</f>
        <v>8405.6153846153848</v>
      </c>
      <c r="W34" s="142">
        <f>O34/AD34</f>
        <v>192.23076923076923</v>
      </c>
      <c r="X34" s="142"/>
      <c r="Y34" s="522">
        <f>10000*AD34/O34</f>
        <v>52.020808323329334</v>
      </c>
      <c r="Z34" s="143" t="s">
        <v>163</v>
      </c>
      <c r="AA34" s="145">
        <v>850</v>
      </c>
      <c r="AB34" s="146"/>
      <c r="AC34" s="6" t="s">
        <v>10</v>
      </c>
      <c r="AD34" s="493">
        <f t="shared" si="131"/>
        <v>65</v>
      </c>
      <c r="AE34" s="493">
        <f t="shared" si="132"/>
        <v>65</v>
      </c>
      <c r="AF34" s="7"/>
      <c r="AG34" s="6">
        <v>65</v>
      </c>
      <c r="AH34" s="42"/>
      <c r="AI34" s="42"/>
      <c r="AJ34" s="799">
        <v>4862.7300000000032</v>
      </c>
      <c r="AK34" s="278">
        <v>5342.8650000000043</v>
      </c>
      <c r="AL34" s="586">
        <f t="shared" si="133"/>
        <v>74.811230769230818</v>
      </c>
      <c r="AM34" s="8">
        <f t="shared" si="134"/>
        <v>82.197923076923146</v>
      </c>
      <c r="AN34" s="35">
        <v>5.51</v>
      </c>
      <c r="AO34" s="35">
        <v>5.01</v>
      </c>
      <c r="AP34" s="35">
        <v>411.89554665846191</v>
      </c>
      <c r="AQ34" s="53">
        <f>0/AD34</f>
        <v>0</v>
      </c>
      <c r="AR34" s="53">
        <f>19/AD34</f>
        <v>0.29230769230769232</v>
      </c>
      <c r="AS34" s="53">
        <f>20/AD34</f>
        <v>0.30769230769230771</v>
      </c>
      <c r="AT34" s="53">
        <f>23/AD34</f>
        <v>0.35384615384615387</v>
      </c>
      <c r="AU34" s="53">
        <f>3/AD34</f>
        <v>4.6153846153846156E-2</v>
      </c>
      <c r="AV34" s="8" t="s">
        <v>160</v>
      </c>
      <c r="AW34" s="51">
        <v>2000</v>
      </c>
      <c r="AX34" s="53">
        <f>AW34/O34</f>
        <v>0.1600640256102441</v>
      </c>
      <c r="AY34" s="35">
        <v>2.5</v>
      </c>
      <c r="AZ34" s="34" t="s">
        <v>398</v>
      </c>
      <c r="BA34" s="8" t="s">
        <v>98</v>
      </c>
      <c r="BB34" s="35"/>
      <c r="BC34" s="35"/>
      <c r="BD34" s="35"/>
      <c r="BE34" s="35"/>
      <c r="BF34" s="31"/>
      <c r="BG34" s="31"/>
      <c r="BH34" s="126">
        <v>40963</v>
      </c>
      <c r="BI34" s="126"/>
      <c r="BJ34" s="660">
        <v>40998</v>
      </c>
      <c r="BK34" s="660">
        <v>41091</v>
      </c>
      <c r="BL34" s="661"/>
      <c r="BM34" s="659">
        <f t="shared" si="135"/>
        <v>3.1</v>
      </c>
      <c r="BN34" s="578"/>
      <c r="BO34" s="546"/>
      <c r="BP34" s="558">
        <v>41262</v>
      </c>
      <c r="BQ34" s="634"/>
      <c r="BR34" s="634"/>
      <c r="BS34" s="110">
        <f>DATE(YEAR(BP34),MONTH(BP34)+3,DAY(BP34))</f>
        <v>41352</v>
      </c>
      <c r="BT34" s="65"/>
      <c r="BU34" s="201">
        <v>41365</v>
      </c>
      <c r="BV34" s="201">
        <f>DATE(YEAR(BU34),MONTH(BU34)+24,DAY(BU34))</f>
        <v>42095</v>
      </c>
      <c r="BW34" s="439">
        <v>228526</v>
      </c>
      <c r="BX34" s="201" t="str">
        <f>IF(EL34&gt;BV34,"oui","non")</f>
        <v>oui</v>
      </c>
      <c r="BY34" s="557">
        <f>(BV34-EL34)/30</f>
        <v>-26.133333333333333</v>
      </c>
      <c r="BZ34" s="439" t="str">
        <f>IF((BY34*EO34)&lt;0,"0",BY34*EO34)</f>
        <v>0</v>
      </c>
      <c r="CA34" s="439">
        <f>BW34-BZ34</f>
        <v>228526</v>
      </c>
      <c r="CB34" s="81"/>
      <c r="CC34" s="74"/>
      <c r="CD34" s="74"/>
      <c r="CE34" s="326" t="str">
        <f t="shared" si="136"/>
        <v>0</v>
      </c>
      <c r="CF34" s="81"/>
      <c r="CG34" s="81"/>
      <c r="CH34" s="326" t="str">
        <f t="shared" si="137"/>
        <v>0</v>
      </c>
      <c r="CI34" s="83"/>
      <c r="CJ34" s="81"/>
      <c r="CK34" s="326" t="str">
        <f t="shared" si="138"/>
        <v>0</v>
      </c>
      <c r="CL34" s="83"/>
      <c r="CM34" s="81"/>
      <c r="CN34" s="326" t="str">
        <f t="shared" si="139"/>
        <v>0</v>
      </c>
      <c r="CO34" s="83"/>
      <c r="CP34" s="365"/>
      <c r="CQ34" s="326" t="str">
        <f t="shared" si="140"/>
        <v>0</v>
      </c>
      <c r="CR34" s="166"/>
      <c r="CS34" s="159"/>
      <c r="CT34" s="81"/>
      <c r="CU34" s="159"/>
      <c r="CV34" s="326" t="str">
        <f>IF(AND(CT34&gt;0,CU34&gt;0),CU34-CT34,"0")</f>
        <v>0</v>
      </c>
      <c r="CW34" s="81"/>
      <c r="CX34" s="236">
        <v>41320</v>
      </c>
      <c r="CY34" s="230">
        <v>2013</v>
      </c>
      <c r="CZ34" s="285">
        <f t="shared" si="141"/>
        <v>7.6333333333333337</v>
      </c>
      <c r="DA34" s="326" t="str">
        <f>IF(AND(CW34&gt;0,CX34&gt;0),CX34-CW34,"0")</f>
        <v>0</v>
      </c>
      <c r="DB34" s="76">
        <v>21</v>
      </c>
      <c r="DC34" s="76">
        <f>DATEDIF(CX34,EC34,"M")</f>
        <v>51</v>
      </c>
      <c r="DD34" s="81"/>
      <c r="DE34" s="159"/>
      <c r="DF34" s="326" t="str">
        <f>IF(AND(DD34&gt;0,DE34&gt;0),DE34-DD34,"0")</f>
        <v>0</v>
      </c>
      <c r="DG34" s="750"/>
      <c r="DH34" s="363"/>
      <c r="DI34" s="329" t="str">
        <f>IF(AND(DG34&gt;0,DH34&gt;0),DH34-DG34,"0")</f>
        <v>0</v>
      </c>
      <c r="DJ34" s="83"/>
      <c r="DK34" s="214"/>
      <c r="DL34" s="326" t="str">
        <f>IF(AND(DJ34&gt;0,DK34&gt;0),DK34-DJ34,"0")</f>
        <v>0</v>
      </c>
      <c r="DM34" s="159"/>
      <c r="DN34" s="81"/>
      <c r="DO34" s="326" t="str">
        <f>IF(AND(DM34&gt;0,DN34&gt;0),DN34-DM34,"0")</f>
        <v>0</v>
      </c>
      <c r="DP34" s="74"/>
      <c r="DQ34" s="74"/>
      <c r="DR34" s="326" t="str">
        <f>IF(AND(DP34&gt;0,DQ34&gt;0),DQ34-DP34,"0")</f>
        <v>0</v>
      </c>
      <c r="DS34" s="74"/>
      <c r="DT34" s="74"/>
      <c r="DU34" s="326" t="str">
        <f>IF(AND(DS34&gt;0,DT34&gt;0),DT34-DS34,"0")</f>
        <v>0</v>
      </c>
      <c r="DV34" s="74"/>
      <c r="DW34" s="74"/>
      <c r="DX34" s="326" t="str">
        <f>IF(AND(DV34&gt;0,DW34&gt;0),DW34-DV34,"0")</f>
        <v>0</v>
      </c>
      <c r="DY34" s="74"/>
      <c r="DZ34" s="74"/>
      <c r="EA34" s="74"/>
      <c r="EB34" s="367">
        <f>DATE(YEAR(CX34),MONTH(CX34)+DB34,DAY(CX34))</f>
        <v>41958</v>
      </c>
      <c r="EC34" s="237">
        <v>42875</v>
      </c>
      <c r="ED34" s="468">
        <f t="shared" si="142"/>
        <v>30.566666666666666</v>
      </c>
      <c r="EE34" s="620"/>
      <c r="EF34" s="293"/>
      <c r="EG34" s="75">
        <v>42879</v>
      </c>
      <c r="EH34" s="75">
        <v>42535</v>
      </c>
      <c r="EI34" s="84">
        <v>42864</v>
      </c>
      <c r="EJ34" s="760"/>
      <c r="EK34" s="533">
        <f>DATE(YEAR(EB34),MONTH(EB34)+1,DAY(EB34))</f>
        <v>41988</v>
      </c>
      <c r="EL34" s="238">
        <v>42879</v>
      </c>
      <c r="EM34" s="232">
        <v>2017</v>
      </c>
      <c r="EN34" s="465">
        <f>(DATEDIF(EK34,EL34,"d"))/30</f>
        <v>29.7</v>
      </c>
      <c r="EO34" s="286">
        <f>329858.71178776/12</f>
        <v>27488.225982313335</v>
      </c>
      <c r="EP34" s="213">
        <f>EO34*EN34</f>
        <v>816400.31167470606</v>
      </c>
      <c r="EQ34" s="127" t="s">
        <v>105</v>
      </c>
      <c r="ER34" s="349"/>
      <c r="ES34" s="454">
        <f>HC34</f>
        <v>36111</v>
      </c>
      <c r="ET34" s="353"/>
      <c r="EU34" s="353"/>
      <c r="EV34" s="353"/>
      <c r="EW34" s="483">
        <f>EV34/FZ34</f>
        <v>0</v>
      </c>
      <c r="EX34" s="350"/>
      <c r="EY34" s="362" t="s">
        <v>521</v>
      </c>
      <c r="EZ34" s="350"/>
      <c r="FA34" s="350"/>
      <c r="FB34" s="126">
        <f t="shared" si="143"/>
        <v>731</v>
      </c>
      <c r="FC34" s="80"/>
      <c r="FD34" s="163" t="s">
        <v>105</v>
      </c>
      <c r="FE34" s="80"/>
      <c r="FF34" s="80"/>
      <c r="FG34" s="132">
        <v>43186</v>
      </c>
      <c r="FH34" s="183" t="s">
        <v>747</v>
      </c>
      <c r="FI34" s="214">
        <f t="shared" si="144"/>
        <v>43240</v>
      </c>
      <c r="FJ34" s="442">
        <v>206245</v>
      </c>
      <c r="FK34" s="132" t="s">
        <v>105</v>
      </c>
      <c r="FL34" s="132">
        <v>42907</v>
      </c>
      <c r="FM34" s="132"/>
      <c r="FN34" s="80"/>
      <c r="FO34" s="80"/>
      <c r="FP34" s="215">
        <v>43185</v>
      </c>
      <c r="FQ34" s="80"/>
      <c r="FR34" s="125" t="s">
        <v>557</v>
      </c>
      <c r="FS34" s="31"/>
      <c r="FT34" s="215">
        <v>43223</v>
      </c>
      <c r="FU34" s="74" t="s">
        <v>105</v>
      </c>
      <c r="FV34" s="80"/>
      <c r="FW34" s="74" t="s">
        <v>105</v>
      </c>
      <c r="FX34" s="392">
        <v>9682468.3900000006</v>
      </c>
      <c r="FY34" s="652">
        <f t="shared" si="145"/>
        <v>10359154.550000001</v>
      </c>
      <c r="FZ34" s="550">
        <f t="shared" si="146"/>
        <v>10359154.550000001</v>
      </c>
      <c r="GA34" s="500">
        <f>FZ34</f>
        <v>10359154.550000001</v>
      </c>
      <c r="GB34" s="610">
        <f>GM34+GN34+GR34</f>
        <v>790394</v>
      </c>
      <c r="GC34" s="28">
        <f t="shared" si="147"/>
        <v>1938.8763425615268</v>
      </c>
      <c r="GD34" s="28">
        <f>FZ34/AD34</f>
        <v>159371.60846153848</v>
      </c>
      <c r="GE34" s="9">
        <v>3195831</v>
      </c>
      <c r="GF34" s="417"/>
      <c r="GG34" s="16">
        <f>GE34/AD34</f>
        <v>49166.630769230767</v>
      </c>
      <c r="GH34" s="9">
        <f>+GI34+GJ34</f>
        <v>6112292.5499999998</v>
      </c>
      <c r="GI34" s="10">
        <v>1264343</v>
      </c>
      <c r="GJ34" s="10">
        <v>4847949.55</v>
      </c>
      <c r="GK34" s="407">
        <f>GH34/AD34</f>
        <v>94035.27</v>
      </c>
      <c r="GL34" s="9">
        <v>224526</v>
      </c>
      <c r="GM34" s="12">
        <v>790394</v>
      </c>
      <c r="GN34" s="44"/>
      <c r="GO34" s="23">
        <f t="shared" si="148"/>
        <v>7.6299083693079944E-2</v>
      </c>
      <c r="GP34" s="45"/>
      <c r="GQ34" s="45"/>
      <c r="GR34" s="12">
        <v>0</v>
      </c>
      <c r="GS34" s="28">
        <f>GM34/AD34</f>
        <v>12159.907692307692</v>
      </c>
      <c r="GT34" s="28">
        <f>(GE34+GM34)/AD34</f>
        <v>61326.538461538461</v>
      </c>
      <c r="GU34" s="680">
        <v>1951680.4950927752</v>
      </c>
      <c r="GV34" s="680">
        <v>1300000</v>
      </c>
      <c r="GW34" s="680">
        <f>(GE34+GM34+GV34)/AD34</f>
        <v>81326.538461538468</v>
      </c>
      <c r="GX34" s="680">
        <v>0</v>
      </c>
      <c r="GY34" s="680">
        <f>(GE34+GM34+GV34+GX34)/AD34</f>
        <v>81326.538461538468</v>
      </c>
      <c r="GZ34" s="681">
        <f>(GE34+GM34+GV34+GX34)/(GU34+FZ34-HA34)</f>
        <v>0.44977679130011533</v>
      </c>
      <c r="HA34" s="680">
        <v>557838.66500000004</v>
      </c>
      <c r="HB34" s="683"/>
      <c r="HC34" s="9">
        <v>36111</v>
      </c>
      <c r="HD34" s="602"/>
      <c r="HE34" s="608">
        <f t="shared" si="149"/>
        <v>0</v>
      </c>
      <c r="HF34" s="616">
        <f t="shared" si="150"/>
        <v>10359154.550000001</v>
      </c>
      <c r="HG34" s="602">
        <f t="shared" ca="1" si="151"/>
        <v>10359154.550000001</v>
      </c>
      <c r="HH34" s="602"/>
      <c r="HI34" s="602"/>
      <c r="HJ34" s="602">
        <f t="shared" si="152"/>
        <v>790394</v>
      </c>
      <c r="HK34" s="609">
        <f t="shared" si="153"/>
        <v>0</v>
      </c>
      <c r="HL34" s="609"/>
      <c r="HM34" s="673"/>
      <c r="HN34" s="62"/>
      <c r="HO34" s="673"/>
      <c r="HP34" s="673">
        <f t="shared" si="154"/>
        <v>0</v>
      </c>
      <c r="HQ34" s="539"/>
      <c r="HR34" s="539"/>
      <c r="HS34" s="539"/>
      <c r="HT34" s="539"/>
      <c r="HU34" s="539"/>
      <c r="HV34" s="673"/>
      <c r="HW34" s="673">
        <f t="shared" si="155"/>
        <v>0</v>
      </c>
      <c r="HX34" s="539"/>
    </row>
    <row r="35" spans="1:232" ht="30" customHeight="1">
      <c r="A35" s="57" t="s">
        <v>735</v>
      </c>
      <c r="B35" s="6" t="s">
        <v>14</v>
      </c>
      <c r="C35" s="6" t="s">
        <v>90</v>
      </c>
      <c r="D35" s="6" t="s">
        <v>645</v>
      </c>
      <c r="E35" s="6"/>
      <c r="F35" s="6"/>
      <c r="G35" s="6"/>
      <c r="H35" s="832"/>
      <c r="I35" s="31"/>
      <c r="J35" s="31" t="s">
        <v>736</v>
      </c>
      <c r="K35" s="180"/>
      <c r="L35" s="111"/>
      <c r="M35" s="67"/>
      <c r="N35" s="68"/>
      <c r="O35" s="142"/>
      <c r="P35" s="142"/>
      <c r="Q35" s="142"/>
      <c r="R35" s="142"/>
      <c r="S35" s="142"/>
      <c r="T35" s="148"/>
      <c r="U35" s="148"/>
      <c r="V35" s="148"/>
      <c r="W35" s="142"/>
      <c r="X35" s="143"/>
      <c r="Y35" s="525"/>
      <c r="Z35" s="143"/>
      <c r="AA35" s="145"/>
      <c r="AB35" s="146"/>
      <c r="AC35" s="6" t="s">
        <v>10</v>
      </c>
      <c r="AD35" s="493">
        <f t="shared" si="131"/>
        <v>150</v>
      </c>
      <c r="AE35" s="493">
        <f t="shared" si="132"/>
        <v>150</v>
      </c>
      <c r="AF35" s="7"/>
      <c r="AG35" s="6">
        <v>150</v>
      </c>
      <c r="AH35" s="42"/>
      <c r="AI35" s="42"/>
      <c r="AJ35" s="797"/>
      <c r="AK35" s="278"/>
      <c r="AL35" s="586">
        <f t="shared" si="133"/>
        <v>0</v>
      </c>
      <c r="AM35" s="8">
        <f t="shared" si="134"/>
        <v>0</v>
      </c>
      <c r="AN35" s="35"/>
      <c r="AO35" s="35"/>
      <c r="AP35" s="35"/>
      <c r="AQ35" s="53"/>
      <c r="AR35" s="53"/>
      <c r="AS35" s="53"/>
      <c r="AT35" s="53"/>
      <c r="AU35" s="53"/>
      <c r="AV35" s="8"/>
      <c r="AW35" s="51"/>
      <c r="AX35" s="53"/>
      <c r="AY35" s="35"/>
      <c r="AZ35" s="34"/>
      <c r="BA35" s="6"/>
      <c r="BB35" s="31"/>
      <c r="BC35" s="31"/>
      <c r="BD35" s="31"/>
      <c r="BE35" s="31"/>
      <c r="BF35" s="165"/>
      <c r="BG35" s="165"/>
      <c r="BH35" s="126"/>
      <c r="BI35" s="126"/>
      <c r="BJ35" s="660"/>
      <c r="BK35" s="660"/>
      <c r="BL35" s="661"/>
      <c r="BM35" s="659">
        <f t="shared" si="135"/>
        <v>0</v>
      </c>
      <c r="BN35" s="578" t="s">
        <v>235</v>
      </c>
      <c r="BO35" s="109"/>
      <c r="BP35" s="138"/>
      <c r="BQ35" s="654">
        <f t="shared" ref="BQ35:BQ43" si="156">(DATEDIF(BO35,BP35,"d"))/30</f>
        <v>0</v>
      </c>
      <c r="BR35" s="638"/>
      <c r="BS35" s="110"/>
      <c r="BT35" s="110"/>
      <c r="BU35" s="202"/>
      <c r="BV35" s="201"/>
      <c r="BW35" s="439"/>
      <c r="BX35" s="201"/>
      <c r="BY35" s="557"/>
      <c r="BZ35" s="439"/>
      <c r="CA35" s="439"/>
      <c r="CB35" s="339"/>
      <c r="CC35" s="341"/>
      <c r="CD35" s="341"/>
      <c r="CE35" s="343" t="str">
        <f t="shared" si="136"/>
        <v>0</v>
      </c>
      <c r="CF35" s="341"/>
      <c r="CG35" s="341"/>
      <c r="CH35" s="343" t="str">
        <f t="shared" si="137"/>
        <v>0</v>
      </c>
      <c r="CI35" s="341"/>
      <c r="CJ35" s="341"/>
      <c r="CK35" s="343" t="str">
        <f t="shared" si="138"/>
        <v>0</v>
      </c>
      <c r="CL35" s="341"/>
      <c r="CM35" s="341"/>
      <c r="CN35" s="343" t="str">
        <f t="shared" si="139"/>
        <v>0</v>
      </c>
      <c r="CO35" s="341"/>
      <c r="CP35" s="341"/>
      <c r="CQ35" s="343" t="str">
        <f t="shared" si="140"/>
        <v>0</v>
      </c>
      <c r="CR35" s="290"/>
      <c r="CS35" s="345"/>
      <c r="CT35" s="330"/>
      <c r="CU35" s="331"/>
      <c r="CV35" s="332"/>
      <c r="CW35" s="330"/>
      <c r="CX35" s="449">
        <v>45129</v>
      </c>
      <c r="CY35" s="233"/>
      <c r="CZ35" s="284">
        <f t="shared" si="141"/>
        <v>1504.3</v>
      </c>
      <c r="DA35" s="332"/>
      <c r="DB35" s="450"/>
      <c r="DC35" s="169"/>
      <c r="DD35" s="330"/>
      <c r="DE35" s="335"/>
      <c r="DF35" s="332"/>
      <c r="DG35" s="792"/>
      <c r="DH35" s="348"/>
      <c r="DI35" s="333"/>
      <c r="DJ35" s="334"/>
      <c r="DK35" s="335"/>
      <c r="DL35" s="332"/>
      <c r="DM35" s="335"/>
      <c r="DN35" s="335"/>
      <c r="DO35" s="332"/>
      <c r="DP35" s="336"/>
      <c r="DQ35" s="336"/>
      <c r="DR35" s="332"/>
      <c r="DS35" s="335"/>
      <c r="DT35" s="335"/>
      <c r="DU35" s="332"/>
      <c r="DV35" s="335"/>
      <c r="DW35" s="335"/>
      <c r="DX35" s="332"/>
      <c r="DY35" s="335"/>
      <c r="DZ35" s="335"/>
      <c r="EA35" s="335"/>
      <c r="EB35" s="477"/>
      <c r="EC35" s="476"/>
      <c r="ED35" s="473">
        <f t="shared" si="142"/>
        <v>0</v>
      </c>
      <c r="EE35" s="622">
        <f ca="1">IF(((EC35-TODAY())/30)&lt;0,0,(EC35-TODAY())/30)</f>
        <v>0</v>
      </c>
      <c r="EF35" s="475">
        <f>DATE(YEAR(DH35)+2,MONTH(DH35),DAY(DH35))</f>
        <v>731</v>
      </c>
      <c r="EG35" s="526"/>
      <c r="EH35" s="526"/>
      <c r="EI35" s="526">
        <f>DATE(YEAR(EC35),MONTH(EC35)+4,DAY(EC35)+2)</f>
        <v>123</v>
      </c>
      <c r="EJ35" s="295"/>
      <c r="EK35" s="534">
        <f>DATE(YEAR(EB35),MONTH(EB35)+1,DAY(EB35))</f>
        <v>31</v>
      </c>
      <c r="EL35" s="476">
        <f>DATE(YEAR(EC35),MONTH(EC35)+1,DAY(EC35))</f>
        <v>31</v>
      </c>
      <c r="EM35" s="368"/>
      <c r="EN35" s="471"/>
      <c r="EO35" s="461"/>
      <c r="EP35" s="173"/>
      <c r="EQ35" s="77"/>
      <c r="ER35" s="353"/>
      <c r="ES35" s="353"/>
      <c r="ET35" s="353"/>
      <c r="EU35" s="353"/>
      <c r="EV35" s="353"/>
      <c r="EW35" s="483"/>
      <c r="EX35" s="350"/>
      <c r="EY35" s="362"/>
      <c r="EZ35" s="350"/>
      <c r="FA35" s="350"/>
      <c r="FB35" s="126">
        <f t="shared" si="143"/>
        <v>731</v>
      </c>
      <c r="FC35" s="80"/>
      <c r="FD35" s="80"/>
      <c r="FE35" s="80"/>
      <c r="FF35" s="80"/>
      <c r="FG35" s="80"/>
      <c r="FH35" s="31"/>
      <c r="FI35" s="194">
        <f t="shared" si="144"/>
        <v>366</v>
      </c>
      <c r="FJ35" s="194"/>
      <c r="FK35" s="31"/>
      <c r="FL35" s="31"/>
      <c r="FM35" s="31"/>
      <c r="FN35" s="31"/>
      <c r="FO35" s="31"/>
      <c r="FP35" s="31"/>
      <c r="FQ35" s="31"/>
      <c r="FR35" s="31"/>
      <c r="FS35" s="31"/>
      <c r="FT35" s="31"/>
      <c r="FU35" s="31"/>
      <c r="FV35" s="31"/>
      <c r="FW35" s="31"/>
      <c r="FX35" s="529"/>
      <c r="FY35" s="652">
        <f t="shared" si="145"/>
        <v>0</v>
      </c>
      <c r="FZ35" s="550">
        <f t="shared" si="146"/>
        <v>0</v>
      </c>
      <c r="GA35" s="45"/>
      <c r="GB35" s="602">
        <f>GM35+GN35+GR35+GV35</f>
        <v>0</v>
      </c>
      <c r="GC35" s="28" t="e">
        <f t="shared" si="147"/>
        <v>#DIV/0!</v>
      </c>
      <c r="GD35" s="28"/>
      <c r="GE35" s="9"/>
      <c r="GF35" s="417"/>
      <c r="GG35" s="16"/>
      <c r="GH35" s="9"/>
      <c r="GI35" s="10"/>
      <c r="GJ35" s="10"/>
      <c r="GK35" s="407"/>
      <c r="GL35" s="9"/>
      <c r="GM35" s="9"/>
      <c r="GN35" s="45"/>
      <c r="GO35" s="23" t="e">
        <f t="shared" si="148"/>
        <v>#DIV/0!</v>
      </c>
      <c r="GP35" s="45"/>
      <c r="GQ35" s="45"/>
      <c r="GR35" s="9"/>
      <c r="GS35" s="28"/>
      <c r="GT35" s="28"/>
      <c r="GU35" s="680"/>
      <c r="GV35" s="680"/>
      <c r="GW35" s="680"/>
      <c r="GX35" s="680"/>
      <c r="GY35" s="680"/>
      <c r="GZ35" s="681"/>
      <c r="HA35" s="680"/>
      <c r="HB35" s="680"/>
      <c r="HC35" s="9"/>
      <c r="HD35" s="602"/>
      <c r="HE35" s="608" t="e">
        <f t="shared" si="149"/>
        <v>#DIV/0!</v>
      </c>
      <c r="HF35" s="602">
        <f t="shared" si="150"/>
        <v>0</v>
      </c>
      <c r="HG35" s="602">
        <f t="shared" ca="1" si="151"/>
        <v>0</v>
      </c>
      <c r="HH35" s="608" t="e">
        <f ca="1">(HD35+HG35)/FZ35</f>
        <v>#DIV/0!</v>
      </c>
      <c r="HI35" s="602"/>
      <c r="HJ35" s="602">
        <f t="shared" si="152"/>
        <v>0</v>
      </c>
      <c r="HK35" s="602" t="e">
        <f t="shared" si="153"/>
        <v>#DIV/0!</v>
      </c>
      <c r="HL35" s="602"/>
      <c r="HM35" s="673"/>
      <c r="HN35" s="62"/>
      <c r="HO35" s="673"/>
      <c r="HP35" s="673">
        <f t="shared" si="154"/>
        <v>0</v>
      </c>
      <c r="HQ35" s="539"/>
      <c r="HR35" s="539"/>
      <c r="HS35" s="539"/>
      <c r="HT35" s="539"/>
      <c r="HU35" s="539"/>
      <c r="HV35" s="673"/>
      <c r="HW35" s="673">
        <f t="shared" si="155"/>
        <v>0</v>
      </c>
      <c r="HX35" s="539"/>
    </row>
    <row r="36" spans="1:232" ht="30" hidden="1" customHeight="1">
      <c r="A36" s="766" t="s">
        <v>206</v>
      </c>
      <c r="B36" s="15" t="s">
        <v>25</v>
      </c>
      <c r="C36" s="15" t="s">
        <v>92</v>
      </c>
      <c r="D36" s="15">
        <v>2016</v>
      </c>
      <c r="E36" s="15" t="s">
        <v>128</v>
      </c>
      <c r="F36" s="15" t="s">
        <v>709</v>
      </c>
      <c r="G36" s="768" t="s">
        <v>464</v>
      </c>
      <c r="H36" s="15" t="s">
        <v>187</v>
      </c>
      <c r="I36" s="32" t="s">
        <v>98</v>
      </c>
      <c r="J36" s="32"/>
      <c r="K36" s="141"/>
      <c r="L36" s="111" t="s">
        <v>44</v>
      </c>
      <c r="M36" s="67" t="s">
        <v>112</v>
      </c>
      <c r="N36" s="68"/>
      <c r="O36" s="147">
        <v>3126</v>
      </c>
      <c r="P36" s="147">
        <f>Q36</f>
        <v>268450</v>
      </c>
      <c r="Q36" s="147">
        <v>268450</v>
      </c>
      <c r="R36" s="142">
        <f>P36/AD36</f>
        <v>8948.3333333333339</v>
      </c>
      <c r="S36" s="147">
        <f>P36/O36</f>
        <v>85.876519513755596</v>
      </c>
      <c r="T36" s="148">
        <f>Q36/O36</f>
        <v>85.876519513755596</v>
      </c>
      <c r="U36" s="148">
        <f>Q36/AK36</f>
        <v>100.22812211813815</v>
      </c>
      <c r="V36" s="148">
        <f>Q36/AD36</f>
        <v>8948.3333333333339</v>
      </c>
      <c r="W36" s="142">
        <f>O36/AD36</f>
        <v>104.2</v>
      </c>
      <c r="X36" s="149">
        <v>1264.3499999999999</v>
      </c>
      <c r="Y36" s="524">
        <f>10000*AD36/O36</f>
        <v>95.969289827255281</v>
      </c>
      <c r="Z36" s="149"/>
      <c r="AA36" s="769">
        <v>100</v>
      </c>
      <c r="AB36" s="770"/>
      <c r="AC36" s="15" t="s">
        <v>9</v>
      </c>
      <c r="AD36" s="493">
        <f t="shared" si="131"/>
        <v>30</v>
      </c>
      <c r="AE36" s="493">
        <f t="shared" si="132"/>
        <v>30</v>
      </c>
      <c r="AF36" s="15">
        <v>30</v>
      </c>
      <c r="AG36" s="29"/>
      <c r="AH36" s="42"/>
      <c r="AI36" s="42"/>
      <c r="AJ36" s="796">
        <v>2366.15</v>
      </c>
      <c r="AK36" s="278">
        <v>2678.39</v>
      </c>
      <c r="AL36" s="586">
        <f t="shared" si="133"/>
        <v>78.87166666666667</v>
      </c>
      <c r="AM36" s="8">
        <f t="shared" si="134"/>
        <v>89.279666666666657</v>
      </c>
      <c r="AN36" s="35">
        <v>7.23</v>
      </c>
      <c r="AO36" s="35">
        <v>6.39</v>
      </c>
      <c r="AP36" s="35">
        <v>570.15</v>
      </c>
      <c r="AQ36" s="38">
        <v>0</v>
      </c>
      <c r="AR36" s="38">
        <v>0</v>
      </c>
      <c r="AS36" s="54">
        <f>16/AD36</f>
        <v>0.53333333333333333</v>
      </c>
      <c r="AT36" s="54">
        <f>12/AD36</f>
        <v>0.4</v>
      </c>
      <c r="AU36" s="54">
        <f>2/AD36</f>
        <v>6.6666666666666666E-2</v>
      </c>
      <c r="AV36" s="762"/>
      <c r="AW36" s="52">
        <v>0</v>
      </c>
      <c r="AX36" s="54">
        <f>AW36/O36</f>
        <v>0</v>
      </c>
      <c r="AY36" s="36">
        <v>3</v>
      </c>
      <c r="AZ36" s="34" t="s">
        <v>398</v>
      </c>
      <c r="BA36" s="15" t="s">
        <v>98</v>
      </c>
      <c r="BB36" s="32"/>
      <c r="BC36" s="32"/>
      <c r="BD36" s="32"/>
      <c r="BE36" s="32"/>
      <c r="BF36" s="167">
        <v>41667</v>
      </c>
      <c r="BG36" s="167"/>
      <c r="BH36" s="167">
        <v>41787</v>
      </c>
      <c r="BI36" s="167"/>
      <c r="BJ36" s="660">
        <v>42459</v>
      </c>
      <c r="BK36" s="660">
        <v>42601</v>
      </c>
      <c r="BL36" s="661">
        <v>42626</v>
      </c>
      <c r="BM36" s="659">
        <f t="shared" si="135"/>
        <v>4.7333333333333334</v>
      </c>
      <c r="BN36" s="578"/>
      <c r="BO36" s="109">
        <v>41932</v>
      </c>
      <c r="BP36" s="569">
        <v>42027</v>
      </c>
      <c r="BQ36" s="654">
        <f t="shared" si="156"/>
        <v>3.1666666666666665</v>
      </c>
      <c r="BR36" s="635"/>
      <c r="BS36" s="112">
        <v>42117</v>
      </c>
      <c r="BT36" s="112">
        <v>42074</v>
      </c>
      <c r="BU36" s="201">
        <v>42125</v>
      </c>
      <c r="BV36" s="201">
        <f>DATE(YEAR(BU36),MONTH(BU36)+36,DAY(BU36))</f>
        <v>43221</v>
      </c>
      <c r="BW36" s="439">
        <f>18650+94096</f>
        <v>112746</v>
      </c>
      <c r="BX36" s="201" t="str">
        <f>IF(EL36&gt;BV36,"oui","non")</f>
        <v>oui</v>
      </c>
      <c r="BY36" s="557">
        <f>(BV36-EL36)/30</f>
        <v>-4.0333333333333332</v>
      </c>
      <c r="BZ36" s="439" t="str">
        <f>IF((BY36*EO36)&lt;0,"0",BY36*EO36)</f>
        <v>0</v>
      </c>
      <c r="CA36" s="439">
        <f>BW36-BZ36</f>
        <v>112746</v>
      </c>
      <c r="CB36" s="81">
        <v>41548</v>
      </c>
      <c r="CC36" s="81">
        <v>41549</v>
      </c>
      <c r="CD36" s="81">
        <v>41564</v>
      </c>
      <c r="CE36" s="326">
        <f t="shared" si="136"/>
        <v>15</v>
      </c>
      <c r="CF36" s="81">
        <v>41679</v>
      </c>
      <c r="CG36" s="81">
        <v>41674</v>
      </c>
      <c r="CH36" s="326">
        <f t="shared" si="137"/>
        <v>-5</v>
      </c>
      <c r="CI36" s="81">
        <v>41679</v>
      </c>
      <c r="CJ36" s="81">
        <v>41697</v>
      </c>
      <c r="CK36" s="326">
        <f t="shared" si="138"/>
        <v>18</v>
      </c>
      <c r="CL36" s="81">
        <v>41753</v>
      </c>
      <c r="CM36" s="81">
        <v>41824</v>
      </c>
      <c r="CN36" s="326">
        <f t="shared" si="139"/>
        <v>71</v>
      </c>
      <c r="CO36" s="81">
        <v>41880</v>
      </c>
      <c r="CP36" s="81">
        <v>41920</v>
      </c>
      <c r="CQ36" s="326">
        <f t="shared" si="140"/>
        <v>40</v>
      </c>
      <c r="CR36" s="54"/>
      <c r="CS36" s="81">
        <v>42055</v>
      </c>
      <c r="CT36" s="81">
        <v>42177</v>
      </c>
      <c r="CU36" s="81">
        <v>42780</v>
      </c>
      <c r="CV36" s="347">
        <f t="shared" ref="CV36:CV63" si="157">IF(AND(CT36&gt;0,CU36&gt;0),CU36-CT36,"0")</f>
        <v>603</v>
      </c>
      <c r="CW36" s="81">
        <v>42781</v>
      </c>
      <c r="CX36" s="282">
        <v>42780</v>
      </c>
      <c r="CY36" s="232">
        <v>2017</v>
      </c>
      <c r="CZ36" s="286">
        <f t="shared" si="141"/>
        <v>5.9666666666666668</v>
      </c>
      <c r="DA36" s="347">
        <f>IF(AND(CW36&gt;0,CX36&gt;0),CX36-CW36,"0")</f>
        <v>-1</v>
      </c>
      <c r="DB36" s="179">
        <v>16</v>
      </c>
      <c r="DC36" s="76">
        <f>DATEDIF(CX36,EC36,"M")</f>
        <v>17</v>
      </c>
      <c r="DD36" s="81">
        <v>42844</v>
      </c>
      <c r="DE36" s="81">
        <v>42844</v>
      </c>
      <c r="DF36" s="347">
        <f>IF(AND(DD36&gt;0,DE36&gt;0),DE36-DD36,"0")</f>
        <v>0</v>
      </c>
      <c r="DG36" s="81">
        <v>42916</v>
      </c>
      <c r="DH36" s="363">
        <v>42936</v>
      </c>
      <c r="DI36" s="364">
        <f>IF(AND(DG36&gt;0,DH36&gt;0),DH36-DG36,"0")</f>
        <v>20</v>
      </c>
      <c r="DJ36" s="81">
        <v>43124</v>
      </c>
      <c r="DK36" s="81">
        <v>43084</v>
      </c>
      <c r="DL36" s="326">
        <f>IF(AND(DJ36&gt;0,DK36&gt;0),DK36-DJ36,"0")</f>
        <v>-40</v>
      </c>
      <c r="DM36" s="214">
        <v>43182</v>
      </c>
      <c r="DN36" s="335">
        <f ca="1">IF(DM36&lt;TODAY(),TODAY(),DM36)</f>
        <v>43950</v>
      </c>
      <c r="DO36" s="332">
        <f ca="1">IF(AND(DM36&gt;0,DN36&gt;0),DN36-DM36,"0")</f>
        <v>768</v>
      </c>
      <c r="DP36" s="402">
        <v>43161</v>
      </c>
      <c r="DQ36" s="338"/>
      <c r="DR36" s="448" t="str">
        <f>IF(AND(DP36&gt;0,DQ36&gt;0),DQ36-DP36,"0")</f>
        <v>0</v>
      </c>
      <c r="DS36" s="214">
        <v>43180</v>
      </c>
      <c r="DT36" s="214">
        <v>43262</v>
      </c>
      <c r="DU36" s="448">
        <f>IF(AND(DS36&gt;0,DT36&gt;0),DT36-DS36,"0")</f>
        <v>82</v>
      </c>
      <c r="DV36" s="214">
        <v>43196</v>
      </c>
      <c r="DW36" s="214">
        <v>43313</v>
      </c>
      <c r="DX36" s="448">
        <f>IF(AND(DV36&gt;0,DW36&gt;0),DW36-DV36,"0")</f>
        <v>117</v>
      </c>
      <c r="DY36" s="214">
        <v>43208</v>
      </c>
      <c r="DZ36" s="214">
        <v>43209</v>
      </c>
      <c r="EA36" s="214">
        <v>43220</v>
      </c>
      <c r="EB36" s="383">
        <f>DATE(YEAR(CX36),MONTH(CX36)+DB36,DAY(CX36))</f>
        <v>43265</v>
      </c>
      <c r="EC36" s="238">
        <v>43320</v>
      </c>
      <c r="ED36" s="501">
        <f t="shared" si="142"/>
        <v>1.8333333333333333</v>
      </c>
      <c r="EE36" s="621">
        <f ca="1">IF(((EC36-TODAY())/30)&lt;0,0,(EC36-TODAY())/30)</f>
        <v>0</v>
      </c>
      <c r="EF36" s="293">
        <f>DATE(YEAR(DH36)+2,MONTH(DH36),DAY(DH36))</f>
        <v>43666</v>
      </c>
      <c r="EG36" s="75">
        <v>43318</v>
      </c>
      <c r="EH36" s="163">
        <v>42887</v>
      </c>
      <c r="EI36" s="75">
        <v>43328</v>
      </c>
      <c r="EJ36" s="760" t="s">
        <v>595</v>
      </c>
      <c r="EK36" s="533">
        <f>DATE(YEAR(EB36),MONTH(EB36),DAY(EB36)+15)</f>
        <v>43280</v>
      </c>
      <c r="EL36" s="238">
        <v>43342</v>
      </c>
      <c r="EM36" s="283">
        <v>2018</v>
      </c>
      <c r="EN36" s="497">
        <f>(DATEDIF(EK36,EL36,"d"))/30</f>
        <v>2.0666666666666669</v>
      </c>
      <c r="EO36" s="455">
        <v>19598.869885009859</v>
      </c>
      <c r="EP36" s="508">
        <f t="shared" ref="EP36:EP67" si="158">EO36*EN36</f>
        <v>40504.331095687048</v>
      </c>
      <c r="EQ36" s="214">
        <v>43321</v>
      </c>
      <c r="ER36" s="353">
        <v>0</v>
      </c>
      <c r="ES36" s="353">
        <v>0</v>
      </c>
      <c r="ET36" s="353">
        <f>310011*1.021</f>
        <v>316521.23099999997</v>
      </c>
      <c r="EU36" s="353"/>
      <c r="EV36" s="482">
        <v>0</v>
      </c>
      <c r="EW36" s="483">
        <f t="shared" ref="EW36:EW67" si="159">EV36/FZ36</f>
        <v>0</v>
      </c>
      <c r="EX36" s="355" t="s">
        <v>513</v>
      </c>
      <c r="EY36" s="808" t="s">
        <v>583</v>
      </c>
      <c r="EZ36" s="808" t="s">
        <v>589</v>
      </c>
      <c r="FA36" s="808" t="s">
        <v>562</v>
      </c>
      <c r="FB36" s="126">
        <f t="shared" si="143"/>
        <v>43666</v>
      </c>
      <c r="FC36" s="214" t="s">
        <v>105</v>
      </c>
      <c r="FD36" s="214">
        <v>43444</v>
      </c>
      <c r="FE36" s="218" t="s">
        <v>105</v>
      </c>
      <c r="FF36" s="218" t="s">
        <v>105</v>
      </c>
      <c r="FG36" s="214">
        <v>43445</v>
      </c>
      <c r="FH36" s="215">
        <v>43474</v>
      </c>
      <c r="FI36" s="214">
        <f t="shared" si="144"/>
        <v>43685</v>
      </c>
      <c r="FJ36" s="194"/>
      <c r="FK36" s="32"/>
      <c r="FL36" s="215">
        <v>43410</v>
      </c>
      <c r="FM36" s="502" t="s">
        <v>743</v>
      </c>
      <c r="FN36" s="32"/>
      <c r="FO36" s="32"/>
      <c r="FP36" s="32"/>
      <c r="FQ36" s="32"/>
      <c r="FR36" s="32"/>
      <c r="FS36" s="32" t="s">
        <v>794</v>
      </c>
      <c r="FT36" s="215">
        <v>43389</v>
      </c>
      <c r="FU36" s="32"/>
      <c r="FV36" s="32"/>
      <c r="FW36" s="32"/>
      <c r="FX36" s="529"/>
      <c r="FY36" s="652">
        <f t="shared" si="145"/>
        <v>5228392.2</v>
      </c>
      <c r="FZ36" s="550">
        <f t="shared" si="146"/>
        <v>5228392.2</v>
      </c>
      <c r="GA36" s="500">
        <f t="shared" ref="GA36:GA57" si="160">FZ36</f>
        <v>5228392.2</v>
      </c>
      <c r="GB36" s="610">
        <f>GM36+GN36+GR36+GQ36+GV36+GX36</f>
        <v>292962</v>
      </c>
      <c r="GC36" s="28">
        <f t="shared" si="147"/>
        <v>1952.065307890188</v>
      </c>
      <c r="GD36" s="28">
        <f t="shared" ref="GD36:GD66" si="161">FZ36/AD36</f>
        <v>174279.74000000002</v>
      </c>
      <c r="GE36" s="573">
        <v>1638956.14</v>
      </c>
      <c r="GF36" s="417"/>
      <c r="GG36" s="16">
        <f t="shared" ref="GG36:GG57" si="162">GE36/AD36</f>
        <v>54631.871333333329</v>
      </c>
      <c r="GH36" s="573">
        <f>GI36+GJ36</f>
        <v>3296474.06</v>
      </c>
      <c r="GI36" s="761">
        <v>618601</v>
      </c>
      <c r="GJ36" s="10">
        <v>2677873.06</v>
      </c>
      <c r="GK36" s="407">
        <f t="shared" ref="GK36:GK67" si="163">GH36/AD36</f>
        <v>109882.46866666667</v>
      </c>
      <c r="GL36" s="573">
        <v>0</v>
      </c>
      <c r="GM36" s="9">
        <v>280000</v>
      </c>
      <c r="GN36" s="49">
        <v>0</v>
      </c>
      <c r="GO36" s="23">
        <f t="shared" si="148"/>
        <v>5.3553748320564011E-2</v>
      </c>
      <c r="GP36" s="60"/>
      <c r="GQ36" s="60"/>
      <c r="GR36" s="573">
        <v>12962</v>
      </c>
      <c r="GS36" s="28">
        <f>GM36/AD36</f>
        <v>9333.3333333333339</v>
      </c>
      <c r="GT36" s="28">
        <f>(GE36+GM36)/AD36</f>
        <v>63965.204666666665</v>
      </c>
      <c r="GU36" s="684">
        <v>0</v>
      </c>
      <c r="GV36" s="684">
        <v>0</v>
      </c>
      <c r="GW36" s="680">
        <f>(GE36+GM36+GV36)/AD36</f>
        <v>63965.204666666665</v>
      </c>
      <c r="GX36" s="684">
        <v>0</v>
      </c>
      <c r="GY36" s="684">
        <f>(GE36+GM36+GV36+GX36)/AD36</f>
        <v>63965.204666666665</v>
      </c>
      <c r="GZ36" s="681">
        <f>(GE36+GM36+GV36+GX36)/(GU36+FZ36-HA36)</f>
        <v>0.37901831105185374</v>
      </c>
      <c r="HA36" s="684">
        <v>165428</v>
      </c>
      <c r="HB36" s="684"/>
      <c r="HC36" s="9">
        <f>ES36</f>
        <v>0</v>
      </c>
      <c r="HD36" s="611">
        <v>4780372.2692322833</v>
      </c>
      <c r="HE36" s="608">
        <f t="shared" si="149"/>
        <v>0.91431019066096131</v>
      </c>
      <c r="HF36" s="616">
        <f t="shared" si="150"/>
        <v>448019.93076771684</v>
      </c>
      <c r="HG36" s="602">
        <f t="shared" ca="1" si="151"/>
        <v>448019.93076771684</v>
      </c>
      <c r="HH36" s="608">
        <f ca="1">(HG36+HD36)/FZ36</f>
        <v>1</v>
      </c>
      <c r="HI36" s="603">
        <f>'[1]GLOBAL OPERATION'!$AG$32</f>
        <v>893590.37</v>
      </c>
      <c r="HJ36" s="603">
        <f t="shared" si="152"/>
        <v>-600628.37</v>
      </c>
      <c r="HK36" s="609">
        <f t="shared" si="153"/>
        <v>3.0501920726920213</v>
      </c>
      <c r="HL36" s="609"/>
      <c r="HM36" s="673"/>
      <c r="HN36" s="62"/>
      <c r="HO36" s="673"/>
      <c r="HP36" s="673">
        <f t="shared" si="154"/>
        <v>0</v>
      </c>
      <c r="HQ36" s="539"/>
      <c r="HR36" s="539"/>
      <c r="HS36" s="539"/>
      <c r="HT36" s="539"/>
      <c r="HU36" s="539"/>
      <c r="HV36" s="673"/>
      <c r="HW36" s="673">
        <f t="shared" si="155"/>
        <v>0</v>
      </c>
      <c r="HX36" s="539"/>
    </row>
    <row r="37" spans="1:232" ht="29.25" customHeight="1">
      <c r="A37" s="820" t="s">
        <v>852</v>
      </c>
      <c r="B37" s="6" t="s">
        <v>14</v>
      </c>
      <c r="C37" s="6" t="s">
        <v>90</v>
      </c>
      <c r="D37" s="6">
        <v>2022</v>
      </c>
      <c r="E37" s="6"/>
      <c r="F37" s="6"/>
      <c r="G37" s="6"/>
      <c r="H37" s="832"/>
      <c r="I37" s="31"/>
      <c r="J37" s="31"/>
      <c r="K37" s="180"/>
      <c r="L37" s="111"/>
      <c r="M37" s="67"/>
      <c r="N37" s="68"/>
      <c r="O37" s="142"/>
      <c r="P37" s="142"/>
      <c r="Q37" s="142"/>
      <c r="R37" s="142"/>
      <c r="S37" s="142"/>
      <c r="T37" s="148"/>
      <c r="U37" s="148"/>
      <c r="V37" s="148"/>
      <c r="W37" s="142"/>
      <c r="X37" s="143"/>
      <c r="Y37" s="525"/>
      <c r="Z37" s="143"/>
      <c r="AA37" s="145"/>
      <c r="AB37" s="146"/>
      <c r="AC37" s="6" t="s">
        <v>308</v>
      </c>
      <c r="AD37" s="493">
        <f t="shared" si="131"/>
        <v>12</v>
      </c>
      <c r="AE37" s="493"/>
      <c r="AF37" s="7"/>
      <c r="AG37" s="7"/>
      <c r="AH37" s="42"/>
      <c r="AI37" s="31">
        <v>12</v>
      </c>
      <c r="AJ37" s="797"/>
      <c r="AK37" s="278"/>
      <c r="AL37" s="586">
        <f t="shared" si="133"/>
        <v>0</v>
      </c>
      <c r="AM37" s="8">
        <f t="shared" si="134"/>
        <v>0</v>
      </c>
      <c r="AN37" s="35"/>
      <c r="AO37" s="35"/>
      <c r="AP37" s="35"/>
      <c r="AQ37" s="53"/>
      <c r="AR37" s="53"/>
      <c r="AS37" s="53"/>
      <c r="AT37" s="53"/>
      <c r="AU37" s="53"/>
      <c r="AV37" s="8"/>
      <c r="AW37" s="51"/>
      <c r="AX37" s="53"/>
      <c r="AY37" s="35"/>
      <c r="AZ37" s="34"/>
      <c r="BA37" s="6"/>
      <c r="BB37" s="31"/>
      <c r="BC37" s="31"/>
      <c r="BD37" s="31"/>
      <c r="BE37" s="31"/>
      <c r="BF37" s="165"/>
      <c r="BG37" s="165"/>
      <c r="BH37" s="126"/>
      <c r="BI37" s="126"/>
      <c r="BJ37" s="660"/>
      <c r="BK37" s="660"/>
      <c r="BL37" s="661"/>
      <c r="BM37" s="659">
        <f t="shared" si="135"/>
        <v>0</v>
      </c>
      <c r="BN37" s="578"/>
      <c r="BO37" s="109"/>
      <c r="BP37" s="138"/>
      <c r="BQ37" s="654">
        <f t="shared" si="156"/>
        <v>0</v>
      </c>
      <c r="BR37" s="638"/>
      <c r="BS37" s="110"/>
      <c r="BT37" s="110"/>
      <c r="BU37" s="202"/>
      <c r="BV37" s="201"/>
      <c r="BW37" s="439"/>
      <c r="BX37" s="201"/>
      <c r="BY37" s="557"/>
      <c r="BZ37" s="439"/>
      <c r="CA37" s="439"/>
      <c r="CB37" s="339"/>
      <c r="CC37" s="341"/>
      <c r="CD37" s="341"/>
      <c r="CE37" s="343" t="str">
        <f t="shared" si="136"/>
        <v>0</v>
      </c>
      <c r="CF37" s="341"/>
      <c r="CG37" s="341"/>
      <c r="CH37" s="343" t="str">
        <f t="shared" si="137"/>
        <v>0</v>
      </c>
      <c r="CI37" s="341"/>
      <c r="CJ37" s="341"/>
      <c r="CK37" s="343" t="str">
        <f t="shared" si="138"/>
        <v>0</v>
      </c>
      <c r="CL37" s="341"/>
      <c r="CM37" s="341"/>
      <c r="CN37" s="343" t="str">
        <f t="shared" si="139"/>
        <v>0</v>
      </c>
      <c r="CO37" s="341"/>
      <c r="CP37" s="341"/>
      <c r="CQ37" s="343" t="str">
        <f t="shared" si="140"/>
        <v>0</v>
      </c>
      <c r="CR37" s="290"/>
      <c r="CS37" s="345"/>
      <c r="CT37" s="330"/>
      <c r="CU37" s="331"/>
      <c r="CV37" s="332" t="str">
        <f t="shared" si="157"/>
        <v>0</v>
      </c>
      <c r="CW37" s="330"/>
      <c r="CX37" s="449">
        <v>45129</v>
      </c>
      <c r="CY37" s="233"/>
      <c r="CZ37" s="284">
        <f t="shared" si="141"/>
        <v>1504.3</v>
      </c>
      <c r="DA37" s="332"/>
      <c r="DB37" s="450"/>
      <c r="DC37" s="169"/>
      <c r="DD37" s="330"/>
      <c r="DE37" s="335"/>
      <c r="DF37" s="332"/>
      <c r="DG37" s="330"/>
      <c r="DH37" s="348"/>
      <c r="DI37" s="333"/>
      <c r="DJ37" s="334"/>
      <c r="DK37" s="335"/>
      <c r="DL37" s="332"/>
      <c r="DM37" s="335"/>
      <c r="DN37" s="335"/>
      <c r="DO37" s="332"/>
      <c r="DP37" s="336"/>
      <c r="DQ37" s="336"/>
      <c r="DR37" s="332"/>
      <c r="DS37" s="335"/>
      <c r="DT37" s="335"/>
      <c r="DU37" s="332"/>
      <c r="DV37" s="335"/>
      <c r="DW37" s="335"/>
      <c r="DX37" s="332"/>
      <c r="DY37" s="335"/>
      <c r="DZ37" s="335"/>
      <c r="EA37" s="335"/>
      <c r="EB37" s="477"/>
      <c r="EC37" s="476"/>
      <c r="ED37" s="473">
        <f t="shared" si="142"/>
        <v>0</v>
      </c>
      <c r="EE37" s="622">
        <f ca="1">IF(((EC37-TODAY())/30)&lt;0,0,(EC37-TODAY())/30)</f>
        <v>0</v>
      </c>
      <c r="EF37" s="475">
        <f>DATE(YEAR(DH37)+2,MONTH(DH37),DAY(DH37))</f>
        <v>731</v>
      </c>
      <c r="EG37" s="526"/>
      <c r="EH37" s="526"/>
      <c r="EI37" s="526">
        <f>DATE(YEAR(EC37),MONTH(EC37)+4,DAY(EC37)+2)</f>
        <v>123</v>
      </c>
      <c r="EJ37" s="366"/>
      <c r="EK37" s="534">
        <f>DATE(YEAR(EB37),MONTH(EB37)+1,DAY(EB37))</f>
        <v>31</v>
      </c>
      <c r="EL37" s="476">
        <f>DATE(YEAR(EC37),MONTH(EC37)+1,DAY(EC37))</f>
        <v>31</v>
      </c>
      <c r="EM37" s="368"/>
      <c r="EN37" s="471">
        <f>(EL37-EK37)/30</f>
        <v>0</v>
      </c>
      <c r="EO37" s="457"/>
      <c r="EP37" s="173">
        <f t="shared" si="158"/>
        <v>0</v>
      </c>
      <c r="EQ37" s="77"/>
      <c r="ER37" s="353"/>
      <c r="ES37" s="353"/>
      <c r="ET37" s="353"/>
      <c r="EU37" s="353"/>
      <c r="EV37" s="353"/>
      <c r="EW37" s="483" t="e">
        <f t="shared" si="159"/>
        <v>#DIV/0!</v>
      </c>
      <c r="EX37" s="350"/>
      <c r="EY37" s="362"/>
      <c r="EZ37" s="350"/>
      <c r="FA37" s="350"/>
      <c r="FB37" s="126">
        <f t="shared" si="143"/>
        <v>731</v>
      </c>
      <c r="FC37" s="80"/>
      <c r="FD37" s="80"/>
      <c r="FE37" s="80"/>
      <c r="FF37" s="80"/>
      <c r="FG37" s="80"/>
      <c r="FH37" s="31"/>
      <c r="FI37" s="194">
        <f t="shared" si="144"/>
        <v>366</v>
      </c>
      <c r="FJ37" s="194"/>
      <c r="FK37" s="31"/>
      <c r="FL37" s="31"/>
      <c r="FM37" s="31"/>
      <c r="FN37" s="31"/>
      <c r="FO37" s="31"/>
      <c r="FP37" s="31"/>
      <c r="FQ37" s="31"/>
      <c r="FR37" s="31"/>
      <c r="FS37" s="31"/>
      <c r="FT37" s="31"/>
      <c r="FU37" s="31"/>
      <c r="FV37" s="31"/>
      <c r="FW37" s="31"/>
      <c r="FX37" s="529"/>
      <c r="FY37" s="652">
        <f t="shared" si="145"/>
        <v>0</v>
      </c>
      <c r="FZ37" s="550">
        <f t="shared" si="146"/>
        <v>0</v>
      </c>
      <c r="GA37" s="45">
        <f t="shared" si="160"/>
        <v>0</v>
      </c>
      <c r="GB37" s="602">
        <f>GM37+GN37+GR37+GV37</f>
        <v>0</v>
      </c>
      <c r="GC37" s="28" t="e">
        <f t="shared" si="147"/>
        <v>#DIV/0!</v>
      </c>
      <c r="GD37" s="28">
        <f t="shared" si="161"/>
        <v>0</v>
      </c>
      <c r="GE37" s="9"/>
      <c r="GF37" s="417"/>
      <c r="GG37" s="16">
        <f t="shared" si="162"/>
        <v>0</v>
      </c>
      <c r="GH37" s="9">
        <f>GI37+GJ37</f>
        <v>0</v>
      </c>
      <c r="GI37" s="10"/>
      <c r="GJ37" s="10"/>
      <c r="GK37" s="407">
        <f t="shared" si="163"/>
        <v>0</v>
      </c>
      <c r="GL37" s="9"/>
      <c r="GM37" s="9"/>
      <c r="GN37" s="45"/>
      <c r="GO37" s="23" t="e">
        <f t="shared" si="148"/>
        <v>#DIV/0!</v>
      </c>
      <c r="GP37" s="45"/>
      <c r="GQ37" s="45"/>
      <c r="GR37" s="9"/>
      <c r="GS37" s="28"/>
      <c r="GT37" s="28"/>
      <c r="GU37" s="680"/>
      <c r="GV37" s="680"/>
      <c r="GW37" s="680"/>
      <c r="GX37" s="680"/>
      <c r="GY37" s="680"/>
      <c r="GZ37" s="681"/>
      <c r="HA37" s="680"/>
      <c r="HB37" s="680"/>
      <c r="HC37" s="9"/>
      <c r="HD37" s="602"/>
      <c r="HE37" s="608"/>
      <c r="HF37" s="602"/>
      <c r="HG37" s="602"/>
      <c r="HH37" s="608"/>
      <c r="HI37" s="602"/>
      <c r="HJ37" s="602"/>
      <c r="HK37" s="602"/>
      <c r="HL37" s="602"/>
      <c r="HM37" s="673"/>
      <c r="HN37" s="62"/>
      <c r="HO37" s="673"/>
      <c r="HP37" s="673"/>
      <c r="HQ37" s="539"/>
      <c r="HR37" s="539"/>
      <c r="HS37" s="539"/>
      <c r="HT37" s="539"/>
      <c r="HU37" s="539"/>
      <c r="HV37" s="673"/>
      <c r="HW37" s="673"/>
      <c r="HX37" s="539"/>
    </row>
    <row r="38" spans="1:232" ht="32.25" hidden="1" customHeight="1">
      <c r="A38" s="57" t="s">
        <v>205</v>
      </c>
      <c r="B38" s="6" t="s">
        <v>25</v>
      </c>
      <c r="C38" s="6" t="s">
        <v>92</v>
      </c>
      <c r="D38" s="15">
        <v>2014</v>
      </c>
      <c r="E38" s="6" t="s">
        <v>131</v>
      </c>
      <c r="F38" s="15" t="s">
        <v>40</v>
      </c>
      <c r="G38" s="490" t="s">
        <v>143</v>
      </c>
      <c r="H38" s="15" t="s">
        <v>187</v>
      </c>
      <c r="I38" s="32" t="s">
        <v>98</v>
      </c>
      <c r="J38" s="31"/>
      <c r="K38" s="180"/>
      <c r="L38" s="111" t="s">
        <v>44</v>
      </c>
      <c r="M38" s="67" t="s">
        <v>112</v>
      </c>
      <c r="N38" s="68"/>
      <c r="O38" s="148">
        <v>1500</v>
      </c>
      <c r="P38" s="148">
        <f>Q38</f>
        <v>128915</v>
      </c>
      <c r="Q38" s="148">
        <v>128915</v>
      </c>
      <c r="R38" s="142">
        <f t="shared" ref="R38:R45" si="164">P38/AD38</f>
        <v>8057.1875</v>
      </c>
      <c r="S38" s="148">
        <f t="shared" ref="S38:S45" si="165">P38/O38</f>
        <v>85.943333333333328</v>
      </c>
      <c r="T38" s="148">
        <f t="shared" ref="T38:T45" si="166">Q38/O38</f>
        <v>85.943333333333328</v>
      </c>
      <c r="U38" s="148">
        <f t="shared" ref="U38:U45" si="167">Q38/AK38</f>
        <v>91.134345662255399</v>
      </c>
      <c r="V38" s="148">
        <f t="shared" ref="V38:V45" si="168">Q38/AD38</f>
        <v>8057.1875</v>
      </c>
      <c r="W38" s="142">
        <f t="shared" ref="W38:W45" si="169">O38/AD38</f>
        <v>93.75</v>
      </c>
      <c r="X38" s="151"/>
      <c r="Y38" s="523">
        <f t="shared" ref="Y38:Y45" si="170">10000*AD38/O38</f>
        <v>106.66666666666667</v>
      </c>
      <c r="Z38" s="151"/>
      <c r="AA38" s="769">
        <v>90</v>
      </c>
      <c r="AB38" s="770"/>
      <c r="AC38" s="6" t="s">
        <v>10</v>
      </c>
      <c r="AD38" s="493">
        <f t="shared" si="131"/>
        <v>16</v>
      </c>
      <c r="AE38" s="493">
        <f t="shared" ref="AE38:AE45" si="171">AD38-AI38</f>
        <v>16</v>
      </c>
      <c r="AF38" s="7"/>
      <c r="AG38" s="6">
        <v>16</v>
      </c>
      <c r="AH38" s="42"/>
      <c r="AI38" s="42"/>
      <c r="AJ38" s="796">
        <v>1223.02</v>
      </c>
      <c r="AK38" s="278">
        <v>1414.56</v>
      </c>
      <c r="AL38" s="586">
        <f t="shared" si="133"/>
        <v>76.438749999999999</v>
      </c>
      <c r="AM38" s="8">
        <f t="shared" si="134"/>
        <v>88.41</v>
      </c>
      <c r="AN38" s="35">
        <v>5.88</v>
      </c>
      <c r="AO38" s="35">
        <v>5.08</v>
      </c>
      <c r="AP38" s="35">
        <v>449.55</v>
      </c>
      <c r="AQ38" s="54">
        <f>2/AD38</f>
        <v>0.125</v>
      </c>
      <c r="AR38" s="54">
        <f>2/AD38</f>
        <v>0.125</v>
      </c>
      <c r="AS38" s="54">
        <f>6/AD38</f>
        <v>0.375</v>
      </c>
      <c r="AT38" s="54">
        <f>5/AD38</f>
        <v>0.3125</v>
      </c>
      <c r="AU38" s="54">
        <f>1/AD38</f>
        <v>6.25E-2</v>
      </c>
      <c r="AV38" s="762"/>
      <c r="AW38" s="52">
        <v>0</v>
      </c>
      <c r="AX38" s="54">
        <f>AW38/O38</f>
        <v>0</v>
      </c>
      <c r="AY38" s="36">
        <v>2.5</v>
      </c>
      <c r="AZ38" s="34" t="s">
        <v>398</v>
      </c>
      <c r="BA38" s="15" t="s">
        <v>98</v>
      </c>
      <c r="BB38" s="32"/>
      <c r="BC38" s="32"/>
      <c r="BD38" s="32"/>
      <c r="BE38" s="32"/>
      <c r="BF38" s="215">
        <v>41667</v>
      </c>
      <c r="BG38" s="215"/>
      <c r="BH38" s="215">
        <v>41781</v>
      </c>
      <c r="BI38" s="215"/>
      <c r="BJ38" s="660">
        <v>41728</v>
      </c>
      <c r="BK38" s="660">
        <v>41929</v>
      </c>
      <c r="BL38" s="661"/>
      <c r="BM38" s="659">
        <f t="shared" si="135"/>
        <v>6.7</v>
      </c>
      <c r="BN38" s="578"/>
      <c r="BO38" s="109">
        <v>42017</v>
      </c>
      <c r="BP38" s="138">
        <v>42027</v>
      </c>
      <c r="BQ38" s="654">
        <f t="shared" si="156"/>
        <v>0.33333333333333331</v>
      </c>
      <c r="BR38" s="635"/>
      <c r="BS38" s="112">
        <v>42116</v>
      </c>
      <c r="BT38" s="112">
        <v>42074</v>
      </c>
      <c r="BU38" s="201">
        <v>42125</v>
      </c>
      <c r="BV38" s="201">
        <f t="shared" ref="BV38:BV45" si="172">DATE(YEAR(BU38),MONTH(BU38)+24,DAY(BU38))</f>
        <v>42856</v>
      </c>
      <c r="BW38" s="439">
        <f>39763+6477</f>
        <v>46240</v>
      </c>
      <c r="BX38" s="201" t="str">
        <f t="shared" ref="BX38:BX45" si="173">IF(EL38&gt;BV38,"oui","non")</f>
        <v>oui</v>
      </c>
      <c r="BY38" s="557">
        <f t="shared" ref="BY38:BY45" si="174">(BV38-EL38)/30</f>
        <v>-3.3666666666666667</v>
      </c>
      <c r="BZ38" s="439" t="str">
        <f t="shared" ref="BZ38:BZ45" si="175">IF((BY38*EO38)&lt;0,"0",BY38*EO38)</f>
        <v>0</v>
      </c>
      <c r="CA38" s="439">
        <f t="shared" ref="CA38:CA45" si="176">BW38-BZ38</f>
        <v>46240</v>
      </c>
      <c r="CB38" s="81"/>
      <c r="CC38" s="81"/>
      <c r="CD38" s="81"/>
      <c r="CE38" s="326" t="str">
        <f t="shared" si="136"/>
        <v>0</v>
      </c>
      <c r="CF38" s="81"/>
      <c r="CG38" s="81"/>
      <c r="CH38" s="326" t="str">
        <f t="shared" si="137"/>
        <v>0</v>
      </c>
      <c r="CI38" s="81"/>
      <c r="CJ38" s="81"/>
      <c r="CK38" s="326" t="str">
        <f t="shared" si="138"/>
        <v>0</v>
      </c>
      <c r="CL38" s="81"/>
      <c r="CM38" s="81"/>
      <c r="CN38" s="326" t="str">
        <f t="shared" si="139"/>
        <v>0</v>
      </c>
      <c r="CO38" s="83"/>
      <c r="CP38" s="365"/>
      <c r="CQ38" s="326" t="str">
        <f t="shared" si="140"/>
        <v>0</v>
      </c>
      <c r="CR38" s="291"/>
      <c r="CS38" s="159"/>
      <c r="CT38" s="81"/>
      <c r="CU38" s="159"/>
      <c r="CV38" s="326" t="str">
        <f t="shared" si="157"/>
        <v>0</v>
      </c>
      <c r="CW38" s="81"/>
      <c r="CX38" s="236">
        <v>42488</v>
      </c>
      <c r="CY38" s="232">
        <v>2016</v>
      </c>
      <c r="CZ38" s="286">
        <f t="shared" si="141"/>
        <v>18.633333333333333</v>
      </c>
      <c r="DA38" s="326" t="str">
        <f t="shared" ref="DA38:DA45" si="177">IF(AND(CW38&gt;0,CX38&gt;0),CX38-CW38,"0")</f>
        <v>0</v>
      </c>
      <c r="DB38" s="76">
        <v>13</v>
      </c>
      <c r="DC38" s="76">
        <f t="shared" ref="DC38:DC45" si="178">DATEDIF(CX38,EC38,"M")</f>
        <v>14</v>
      </c>
      <c r="DD38" s="81"/>
      <c r="DE38" s="159"/>
      <c r="DF38" s="326" t="str">
        <f t="shared" ref="DF38:DF45" si="179">IF(AND(DD38&gt;0,DE38&gt;0),DE38-DD38,"0")</f>
        <v>0</v>
      </c>
      <c r="DG38" s="81"/>
      <c r="DH38" s="363"/>
      <c r="DI38" s="329" t="str">
        <f t="shared" ref="DI38:DI45" si="180">IF(AND(DG38&gt;0,DH38&gt;0),DH38-DG38,"0")</f>
        <v>0</v>
      </c>
      <c r="DJ38" s="83"/>
      <c r="DK38" s="214"/>
      <c r="DL38" s="326" t="str">
        <f t="shared" ref="DL38:DL45" si="181">IF(AND(DJ38&gt;0,DK38&gt;0),DK38-DJ38,"0")</f>
        <v>0</v>
      </c>
      <c r="DM38" s="81"/>
      <c r="DN38" s="81"/>
      <c r="DO38" s="326" t="str">
        <f t="shared" ref="DO38:DO45" si="182">IF(AND(DM38&gt;0,DN38&gt;0),DN38-DM38,"0")</f>
        <v>0</v>
      </c>
      <c r="DP38" s="81"/>
      <c r="DQ38" s="81"/>
      <c r="DR38" s="326" t="str">
        <f t="shared" ref="DR38:DR45" si="183">IF(AND(DP38&gt;0,DQ38&gt;0),DQ38-DP38,"0")</f>
        <v>0</v>
      </c>
      <c r="DS38" s="81"/>
      <c r="DT38" s="81"/>
      <c r="DU38" s="326" t="str">
        <f t="shared" ref="DU38:DU45" si="184">IF(AND(DS38&gt;0,DT38&gt;0),DT38-DS38,"0")</f>
        <v>0</v>
      </c>
      <c r="DV38" s="81"/>
      <c r="DW38" s="81"/>
      <c r="DX38" s="326" t="str">
        <f t="shared" ref="DX38:DX45" si="185">IF(AND(DV38&gt;0,DW38&gt;0),DW38-DV38,"0")</f>
        <v>0</v>
      </c>
      <c r="DY38" s="81"/>
      <c r="DZ38" s="81"/>
      <c r="EA38" s="81"/>
      <c r="EB38" s="367">
        <f t="shared" ref="EB38:EB45" si="186">DATE(YEAR(CX38),MONTH(CX38)+DB38,DAY(CX38))</f>
        <v>42883</v>
      </c>
      <c r="EC38" s="236">
        <v>42921</v>
      </c>
      <c r="ED38" s="468">
        <f t="shared" si="142"/>
        <v>1.2666666666666666</v>
      </c>
      <c r="EE38" s="620"/>
      <c r="EF38" s="293"/>
      <c r="EG38" s="75">
        <v>42928</v>
      </c>
      <c r="EH38" s="75">
        <v>42702</v>
      </c>
      <c r="EI38" s="75">
        <v>42942</v>
      </c>
      <c r="EJ38" s="293"/>
      <c r="EK38" s="533">
        <f>DATE(YEAR(EB38),MONTH(EB38)+1,DAY(EB38))</f>
        <v>42914</v>
      </c>
      <c r="EL38" s="238">
        <v>42957</v>
      </c>
      <c r="EM38" s="232">
        <v>2017</v>
      </c>
      <c r="EN38" s="465">
        <f t="shared" ref="EN38:EN45" si="187">(DATEDIF(EK38,EL38,"d"))/30</f>
        <v>1.4333333333333333</v>
      </c>
      <c r="EO38" s="286">
        <f>88922.4268984531/12</f>
        <v>7410.2022415377578</v>
      </c>
      <c r="EP38" s="213">
        <f t="shared" si="158"/>
        <v>10621.289879537453</v>
      </c>
      <c r="EQ38" s="273">
        <v>42901</v>
      </c>
      <c r="ER38" s="349">
        <v>0</v>
      </c>
      <c r="ES38" s="349">
        <v>0</v>
      </c>
      <c r="ET38" s="353"/>
      <c r="EU38" s="353"/>
      <c r="EV38" s="353">
        <v>12993.96</v>
      </c>
      <c r="EW38" s="483">
        <f t="shared" si="159"/>
        <v>4.665640564888658E-3</v>
      </c>
      <c r="EX38" s="354"/>
      <c r="EY38" s="369" t="s">
        <v>538</v>
      </c>
      <c r="EZ38" s="354"/>
      <c r="FA38" s="354"/>
      <c r="FB38" s="126">
        <f t="shared" si="143"/>
        <v>731</v>
      </c>
      <c r="FC38" s="163" t="s">
        <v>105</v>
      </c>
      <c r="FD38" s="163" t="s">
        <v>105</v>
      </c>
      <c r="FE38" s="137" t="s">
        <v>105</v>
      </c>
      <c r="FF38" s="81" t="s">
        <v>105</v>
      </c>
      <c r="FG38" s="214">
        <v>43146</v>
      </c>
      <c r="FH38" s="215">
        <v>43194</v>
      </c>
      <c r="FI38" s="214">
        <f t="shared" si="144"/>
        <v>43286</v>
      </c>
      <c r="FJ38" s="442">
        <v>9694</v>
      </c>
      <c r="FK38" s="214">
        <v>43056</v>
      </c>
      <c r="FL38" s="214">
        <v>43059</v>
      </c>
      <c r="FM38" s="214"/>
      <c r="FN38" s="214"/>
      <c r="FO38" s="214"/>
      <c r="FP38" s="215">
        <v>43180</v>
      </c>
      <c r="FQ38" s="32"/>
      <c r="FR38" s="502">
        <v>43336</v>
      </c>
      <c r="FS38" s="32"/>
      <c r="FT38" s="161" t="s">
        <v>105</v>
      </c>
      <c r="FU38" s="161" t="s">
        <v>105</v>
      </c>
      <c r="FV38" s="161" t="s">
        <v>105</v>
      </c>
      <c r="FW38" s="132" t="s">
        <v>105</v>
      </c>
      <c r="FX38" s="388">
        <v>2681224</v>
      </c>
      <c r="FY38" s="652">
        <f t="shared" si="145"/>
        <v>2785032.37</v>
      </c>
      <c r="FZ38" s="550">
        <f t="shared" si="146"/>
        <v>2785032.37</v>
      </c>
      <c r="GA38" s="500">
        <f t="shared" si="160"/>
        <v>2785032.37</v>
      </c>
      <c r="GB38" s="611">
        <f>GM38+GN38+GR38</f>
        <v>325055</v>
      </c>
      <c r="GC38" s="28">
        <f t="shared" si="147"/>
        <v>1968.832972797195</v>
      </c>
      <c r="GD38" s="28">
        <f t="shared" si="161"/>
        <v>174064.52312500001</v>
      </c>
      <c r="GE38" s="573">
        <v>863024</v>
      </c>
      <c r="GF38" s="417"/>
      <c r="GG38" s="16">
        <f t="shared" si="162"/>
        <v>53939</v>
      </c>
      <c r="GH38" s="573">
        <f>GI38+GJ38</f>
        <v>1596953.37</v>
      </c>
      <c r="GI38" s="761">
        <v>242605.3</v>
      </c>
      <c r="GJ38" s="761">
        <v>1354348.07</v>
      </c>
      <c r="GK38" s="407">
        <f t="shared" si="163"/>
        <v>99809.585625000007</v>
      </c>
      <c r="GL38" s="573"/>
      <c r="GM38" s="573">
        <f>144000*0+320000</f>
        <v>320000</v>
      </c>
      <c r="GN38" s="49">
        <v>0</v>
      </c>
      <c r="GO38" s="23">
        <f t="shared" si="148"/>
        <v>0.1148999212529799</v>
      </c>
      <c r="GP38" s="45"/>
      <c r="GQ38" s="45"/>
      <c r="GR38" s="573">
        <v>5055</v>
      </c>
      <c r="GS38" s="56">
        <f t="shared" ref="GS38:GS45" si="188">GM38/AD38</f>
        <v>20000</v>
      </c>
      <c r="GT38" s="56">
        <f t="shared" ref="GT38:GT45" si="189">(GE38+GM38)/AD38</f>
        <v>73939</v>
      </c>
      <c r="GU38" s="680">
        <v>0</v>
      </c>
      <c r="GV38" s="680">
        <v>0</v>
      </c>
      <c r="GW38" s="680" t="e">
        <f>(#REF!+#REF!+GV38)/AD38</f>
        <v>#REF!</v>
      </c>
      <c r="GX38" s="680">
        <v>0</v>
      </c>
      <c r="GY38" s="680">
        <f t="shared" ref="GY38:GY45" si="190">(GE38+GM38+GV38+GX38)/AD38</f>
        <v>73939</v>
      </c>
      <c r="GZ38" s="681">
        <f>(GE38+GM38+GV38+GX38)/(GU38+FZ38-HA38)</f>
        <v>0.42477926387620407</v>
      </c>
      <c r="HA38" s="680">
        <v>0</v>
      </c>
      <c r="HB38" s="680"/>
      <c r="HC38" s="9">
        <v>0</v>
      </c>
      <c r="HD38" s="603"/>
      <c r="HE38" s="608">
        <f t="shared" ref="HE38:HE45" si="191">HD38/FZ38</f>
        <v>0</v>
      </c>
      <c r="HF38" s="616">
        <f t="shared" ref="HF38:HF45" si="192">FZ38-HD38</f>
        <v>2785032.37</v>
      </c>
      <c r="HG38" s="602">
        <f t="shared" ref="HG38:HG45" ca="1" si="193">IF(EE38&lt;DATEDIF(TODAY(),$HG$1,"M"),HF38,(HF38/EE38*DATEDIF(TODAY(),$HG$1,"M")))</f>
        <v>2785032.37</v>
      </c>
      <c r="HH38" s="602"/>
      <c r="HI38" s="603"/>
      <c r="HJ38" s="602">
        <f t="shared" ref="HJ38:HJ45" si="194">GB38-HI38</f>
        <v>325055</v>
      </c>
      <c r="HK38" s="609">
        <f t="shared" ref="HK38:HK45" si="195">HI38/GB38</f>
        <v>0</v>
      </c>
      <c r="HL38" s="609"/>
      <c r="HM38" s="673"/>
      <c r="HN38" s="62"/>
      <c r="HO38" s="673"/>
      <c r="HP38" s="673">
        <f t="shared" ref="HP38:HP45" si="196">HQ38+HR38+HS38+HT38+HU38</f>
        <v>0</v>
      </c>
      <c r="HQ38" s="539"/>
      <c r="HR38" s="539"/>
      <c r="HS38" s="539"/>
      <c r="HT38" s="539"/>
      <c r="HU38" s="539"/>
      <c r="HV38" s="673"/>
      <c r="HW38" s="673">
        <f t="shared" ref="HW38:HW45" si="197">HV38+HP38+HO38+HM38</f>
        <v>0</v>
      </c>
      <c r="HX38" s="539"/>
    </row>
    <row r="39" spans="1:232" ht="84.75" hidden="1" customHeight="1">
      <c r="A39" s="766" t="s">
        <v>220</v>
      </c>
      <c r="B39" s="6" t="s">
        <v>25</v>
      </c>
      <c r="C39" s="6" t="s">
        <v>92</v>
      </c>
      <c r="D39" s="6">
        <v>2014</v>
      </c>
      <c r="E39" s="6" t="s">
        <v>127</v>
      </c>
      <c r="F39" s="6" t="s">
        <v>16</v>
      </c>
      <c r="G39" s="490" t="s">
        <v>337</v>
      </c>
      <c r="H39" s="6" t="s">
        <v>187</v>
      </c>
      <c r="I39" s="31"/>
      <c r="J39" s="31"/>
      <c r="K39" s="180" t="s">
        <v>269</v>
      </c>
      <c r="L39" s="111" t="s">
        <v>44</v>
      </c>
      <c r="M39" s="67" t="s">
        <v>112</v>
      </c>
      <c r="N39" s="68"/>
      <c r="O39" s="148">
        <v>2529</v>
      </c>
      <c r="P39" s="148">
        <f>Q39</f>
        <v>217810</v>
      </c>
      <c r="Q39" s="148">
        <v>217810</v>
      </c>
      <c r="R39" s="142">
        <f t="shared" si="164"/>
        <v>7260.333333333333</v>
      </c>
      <c r="S39" s="148">
        <f t="shared" si="165"/>
        <v>86.124950573349153</v>
      </c>
      <c r="T39" s="148">
        <f t="shared" si="166"/>
        <v>86.124950573349153</v>
      </c>
      <c r="U39" s="148">
        <f t="shared" si="167"/>
        <v>84.950954581797617</v>
      </c>
      <c r="V39" s="148">
        <f t="shared" si="168"/>
        <v>7260.333333333333</v>
      </c>
      <c r="W39" s="142">
        <f t="shared" si="169"/>
        <v>84.3</v>
      </c>
      <c r="X39" s="151">
        <f>523.3+554</f>
        <v>1077.3</v>
      </c>
      <c r="Y39" s="523">
        <f t="shared" si="170"/>
        <v>118.62396204033215</v>
      </c>
      <c r="Z39" s="151"/>
      <c r="AA39" s="145">
        <v>110</v>
      </c>
      <c r="AB39" s="146"/>
      <c r="AC39" s="6" t="s">
        <v>10</v>
      </c>
      <c r="AD39" s="493">
        <f t="shared" si="131"/>
        <v>30</v>
      </c>
      <c r="AE39" s="493">
        <f t="shared" si="171"/>
        <v>30</v>
      </c>
      <c r="AF39" s="7"/>
      <c r="AG39" s="6">
        <v>30</v>
      </c>
      <c r="AH39" s="42"/>
      <c r="AI39" s="42"/>
      <c r="AJ39" s="796">
        <v>2202.3000000000002</v>
      </c>
      <c r="AK39" s="278">
        <v>2563.9499999999998</v>
      </c>
      <c r="AL39" s="586">
        <f t="shared" si="133"/>
        <v>73.410000000000011</v>
      </c>
      <c r="AM39" s="8">
        <f t="shared" si="134"/>
        <v>85.464999999999989</v>
      </c>
      <c r="AN39" s="35">
        <v>5.97</v>
      </c>
      <c r="AO39" s="35">
        <v>5.13</v>
      </c>
      <c r="AP39" s="35">
        <v>438.4627734</v>
      </c>
      <c r="AQ39" s="53">
        <f>2/AD39</f>
        <v>6.6666666666666666E-2</v>
      </c>
      <c r="AR39" s="53">
        <f>12/AD39</f>
        <v>0.4</v>
      </c>
      <c r="AS39" s="53">
        <f>12/AD39</f>
        <v>0.4</v>
      </c>
      <c r="AT39" s="53">
        <f>3/AD39</f>
        <v>0.1</v>
      </c>
      <c r="AU39" s="53">
        <f>1/AD39</f>
        <v>3.3333333333333333E-2</v>
      </c>
      <c r="AV39" s="8"/>
      <c r="AW39" s="51">
        <v>0</v>
      </c>
      <c r="AX39" s="53">
        <f>AW39/O39</f>
        <v>0</v>
      </c>
      <c r="AY39" s="35">
        <v>4</v>
      </c>
      <c r="AZ39" s="34" t="s">
        <v>398</v>
      </c>
      <c r="BA39" s="6" t="s">
        <v>98</v>
      </c>
      <c r="BB39" s="31"/>
      <c r="BC39" s="31"/>
      <c r="BD39" s="31"/>
      <c r="BE39" s="31"/>
      <c r="BF39" s="73">
        <v>41667</v>
      </c>
      <c r="BG39" s="73"/>
      <c r="BH39" s="74"/>
      <c r="BI39" s="74"/>
      <c r="BJ39" s="660">
        <v>41728</v>
      </c>
      <c r="BK39" s="660">
        <v>41890</v>
      </c>
      <c r="BL39" s="661"/>
      <c r="BM39" s="659">
        <f t="shared" si="135"/>
        <v>5.4</v>
      </c>
      <c r="BN39" s="578"/>
      <c r="BO39" s="109">
        <v>42233</v>
      </c>
      <c r="BP39" s="138">
        <v>42262</v>
      </c>
      <c r="BQ39" s="654">
        <f t="shared" si="156"/>
        <v>0.96666666666666667</v>
      </c>
      <c r="BR39" s="139"/>
      <c r="BS39" s="110">
        <v>42353</v>
      </c>
      <c r="BT39" s="110">
        <v>42269</v>
      </c>
      <c r="BU39" s="202">
        <v>42370</v>
      </c>
      <c r="BV39" s="201">
        <f t="shared" si="172"/>
        <v>43101</v>
      </c>
      <c r="BW39" s="439">
        <f>10688+63372</f>
        <v>74060</v>
      </c>
      <c r="BX39" s="201" t="str">
        <f t="shared" si="173"/>
        <v>oui</v>
      </c>
      <c r="BY39" s="557">
        <f t="shared" si="174"/>
        <v>-7.9333333333333336</v>
      </c>
      <c r="BZ39" s="439" t="str">
        <f t="shared" si="175"/>
        <v>0</v>
      </c>
      <c r="CA39" s="439">
        <f t="shared" si="176"/>
        <v>74060</v>
      </c>
      <c r="CB39" s="81">
        <v>41543</v>
      </c>
      <c r="CC39" s="81">
        <v>41544</v>
      </c>
      <c r="CD39" s="81">
        <v>41554</v>
      </c>
      <c r="CE39" s="326">
        <f t="shared" si="136"/>
        <v>10</v>
      </c>
      <c r="CF39" s="81">
        <v>41676</v>
      </c>
      <c r="CG39" s="81">
        <v>41625</v>
      </c>
      <c r="CH39" s="326">
        <f t="shared" si="137"/>
        <v>-51</v>
      </c>
      <c r="CI39" s="81">
        <v>41708</v>
      </c>
      <c r="CJ39" s="81">
        <v>41708</v>
      </c>
      <c r="CK39" s="326">
        <f t="shared" si="138"/>
        <v>0</v>
      </c>
      <c r="CL39" s="81">
        <v>41835</v>
      </c>
      <c r="CM39" s="81">
        <v>41835</v>
      </c>
      <c r="CN39" s="326">
        <f t="shared" si="139"/>
        <v>0</v>
      </c>
      <c r="CO39" s="81">
        <v>41892</v>
      </c>
      <c r="CP39" s="81">
        <v>41892</v>
      </c>
      <c r="CQ39" s="326">
        <f t="shared" si="140"/>
        <v>0</v>
      </c>
      <c r="CR39" s="53"/>
      <c r="CS39" s="81">
        <v>42055</v>
      </c>
      <c r="CT39" s="81">
        <v>42368</v>
      </c>
      <c r="CU39" s="81">
        <v>42772</v>
      </c>
      <c r="CV39" s="326">
        <f t="shared" si="157"/>
        <v>404</v>
      </c>
      <c r="CW39" s="81">
        <v>42787</v>
      </c>
      <c r="CX39" s="238">
        <v>42772</v>
      </c>
      <c r="CY39" s="232">
        <v>2017</v>
      </c>
      <c r="CZ39" s="286">
        <f t="shared" si="141"/>
        <v>29.4</v>
      </c>
      <c r="DA39" s="326">
        <f t="shared" si="177"/>
        <v>-15</v>
      </c>
      <c r="DB39" s="168">
        <v>16</v>
      </c>
      <c r="DC39" s="76">
        <f t="shared" si="178"/>
        <v>18</v>
      </c>
      <c r="DD39" s="81">
        <v>42839</v>
      </c>
      <c r="DE39" s="81">
        <v>42839</v>
      </c>
      <c r="DF39" s="326">
        <f t="shared" si="179"/>
        <v>0</v>
      </c>
      <c r="DG39" s="328">
        <v>42908</v>
      </c>
      <c r="DH39" s="327">
        <v>42907</v>
      </c>
      <c r="DI39" s="329">
        <f t="shared" si="180"/>
        <v>-1</v>
      </c>
      <c r="DJ39" s="328">
        <v>43144</v>
      </c>
      <c r="DK39" s="328">
        <v>43088</v>
      </c>
      <c r="DL39" s="326">
        <f t="shared" si="181"/>
        <v>-56</v>
      </c>
      <c r="DM39" s="81">
        <v>43189</v>
      </c>
      <c r="DN39" s="81">
        <v>43189</v>
      </c>
      <c r="DO39" s="326">
        <f t="shared" si="182"/>
        <v>0</v>
      </c>
      <c r="DP39" s="81">
        <v>43147</v>
      </c>
      <c r="DQ39" s="81">
        <v>43209</v>
      </c>
      <c r="DR39" s="448">
        <f t="shared" si="183"/>
        <v>62</v>
      </c>
      <c r="DS39" s="214">
        <v>43168</v>
      </c>
      <c r="DT39" s="214">
        <v>43216</v>
      </c>
      <c r="DU39" s="448">
        <f t="shared" si="184"/>
        <v>48</v>
      </c>
      <c r="DV39" s="214">
        <v>43238</v>
      </c>
      <c r="DW39" s="214">
        <v>43311</v>
      </c>
      <c r="DX39" s="448">
        <f t="shared" si="185"/>
        <v>73</v>
      </c>
      <c r="DY39" s="214">
        <v>43224</v>
      </c>
      <c r="DZ39" s="214">
        <v>43224</v>
      </c>
      <c r="EA39" s="214">
        <v>43160</v>
      </c>
      <c r="EB39" s="293">
        <f t="shared" si="186"/>
        <v>43257</v>
      </c>
      <c r="EC39" s="238">
        <v>43339</v>
      </c>
      <c r="ED39" s="501">
        <f t="shared" si="142"/>
        <v>2.7333333333333334</v>
      </c>
      <c r="EE39" s="621">
        <f ca="1">IF(((EC39-TODAY())/30)&lt;0,0,(EC39-TODAY())/30)</f>
        <v>0</v>
      </c>
      <c r="EF39" s="293">
        <f>DATE(YEAR(DH39)+2,MONTH(DH39),DAY(DH39))</f>
        <v>43637</v>
      </c>
      <c r="EG39" s="167">
        <v>43341</v>
      </c>
      <c r="EH39" s="162">
        <v>42702</v>
      </c>
      <c r="EI39" s="75">
        <f>DATE(YEAR(EC39),MONTH(EC39),DAY(EC39)+15)</f>
        <v>43354</v>
      </c>
      <c r="EJ39" s="760" t="s">
        <v>594</v>
      </c>
      <c r="EK39" s="533">
        <f>DATE(YEAR(EB39),MONTH(EB39),DAY(EB39)+15)</f>
        <v>43272</v>
      </c>
      <c r="EL39" s="238">
        <v>43339</v>
      </c>
      <c r="EM39" s="283">
        <v>2018</v>
      </c>
      <c r="EN39" s="497">
        <f t="shared" si="187"/>
        <v>2.2333333333333334</v>
      </c>
      <c r="EO39" s="455">
        <v>15089.237093545917</v>
      </c>
      <c r="EP39" s="508">
        <f t="shared" si="158"/>
        <v>33699.296175585878</v>
      </c>
      <c r="EQ39" s="214">
        <v>43278</v>
      </c>
      <c r="ER39" s="353">
        <v>0</v>
      </c>
      <c r="ES39" s="353">
        <v>0</v>
      </c>
      <c r="ET39" s="353">
        <f>99194.95*1.021</f>
        <v>101278.04394999999</v>
      </c>
      <c r="EU39" s="353"/>
      <c r="EV39" s="353">
        <v>84397</v>
      </c>
      <c r="EW39" s="483">
        <f t="shared" si="159"/>
        <v>1.7663766622373126E-2</v>
      </c>
      <c r="EX39" s="351" t="s">
        <v>503</v>
      </c>
      <c r="EY39" s="487"/>
      <c r="EZ39" s="422" t="s">
        <v>598</v>
      </c>
      <c r="FA39" s="422" t="s">
        <v>563</v>
      </c>
      <c r="FB39" s="126">
        <f t="shared" si="143"/>
        <v>43637</v>
      </c>
      <c r="FC39" s="214" t="s">
        <v>105</v>
      </c>
      <c r="FD39" s="81">
        <v>43441</v>
      </c>
      <c r="FE39" s="80"/>
      <c r="FF39" s="80"/>
      <c r="FG39" s="81">
        <v>43795</v>
      </c>
      <c r="FH39" s="271" t="s">
        <v>804</v>
      </c>
      <c r="FI39" s="214">
        <f t="shared" si="144"/>
        <v>43704</v>
      </c>
      <c r="FJ39" s="194"/>
      <c r="FK39" s="31"/>
      <c r="FL39" s="73">
        <v>43417</v>
      </c>
      <c r="FM39" s="73">
        <v>43552</v>
      </c>
      <c r="FN39" s="31"/>
      <c r="FO39" s="31"/>
      <c r="FP39" s="31"/>
      <c r="FQ39" s="31"/>
      <c r="FR39" s="31" t="s">
        <v>892</v>
      </c>
      <c r="FS39" s="31"/>
      <c r="FT39" s="215">
        <v>43385</v>
      </c>
      <c r="FU39" s="31"/>
      <c r="FV39" s="132">
        <v>43838</v>
      </c>
      <c r="FW39" s="31"/>
      <c r="FX39" s="529"/>
      <c r="FY39" s="652">
        <f t="shared" si="145"/>
        <v>4777973</v>
      </c>
      <c r="FZ39" s="550">
        <f t="shared" si="146"/>
        <v>4777973</v>
      </c>
      <c r="GA39" s="500">
        <f t="shared" si="160"/>
        <v>4777973</v>
      </c>
      <c r="GB39" s="610">
        <f>GM39+GN39+GR39+GQ39+GV39+GX39</f>
        <v>609265</v>
      </c>
      <c r="GC39" s="28">
        <f t="shared" si="147"/>
        <v>1863.5203494607931</v>
      </c>
      <c r="GD39" s="28">
        <f t="shared" si="161"/>
        <v>159265.76666666666</v>
      </c>
      <c r="GE39" s="413">
        <v>1462622</v>
      </c>
      <c r="GF39" s="417"/>
      <c r="GG39" s="415">
        <f t="shared" si="162"/>
        <v>48754.066666666666</v>
      </c>
      <c r="GH39" s="9">
        <f>+GI39+GJ39</f>
        <v>2706086</v>
      </c>
      <c r="GI39" s="10">
        <v>461009</v>
      </c>
      <c r="GJ39" s="10">
        <v>2245077</v>
      </c>
      <c r="GK39" s="407">
        <f t="shared" si="163"/>
        <v>90202.866666666669</v>
      </c>
      <c r="GL39" s="9"/>
      <c r="GM39" s="45">
        <v>600000</v>
      </c>
      <c r="GN39" s="45">
        <v>0</v>
      </c>
      <c r="GO39" s="23">
        <f t="shared" si="148"/>
        <v>0.12557626424427262</v>
      </c>
      <c r="GP39" s="60"/>
      <c r="GQ39" s="60"/>
      <c r="GR39" s="9">
        <v>9265</v>
      </c>
      <c r="GS39" s="28">
        <f t="shared" si="188"/>
        <v>20000</v>
      </c>
      <c r="GT39" s="28">
        <f t="shared" si="189"/>
        <v>68754.066666666666</v>
      </c>
      <c r="GU39" s="684">
        <v>0</v>
      </c>
      <c r="GV39" s="684">
        <v>0</v>
      </c>
      <c r="GW39" s="680">
        <f>(GE39+GM39+GV39)/AD39</f>
        <v>68754.066666666666</v>
      </c>
      <c r="GX39" s="684">
        <v>0</v>
      </c>
      <c r="GY39" s="684">
        <f t="shared" si="190"/>
        <v>68754.066666666666</v>
      </c>
      <c r="GZ39" s="681">
        <f>(GE39+GM39+GV39+GX39)/(GU39+FZ39-HA39)</f>
        <v>0.4316939421800835</v>
      </c>
      <c r="HA39" s="684">
        <v>0</v>
      </c>
      <c r="HB39" s="684"/>
      <c r="HC39" s="573">
        <f>ES39</f>
        <v>0</v>
      </c>
      <c r="HD39" s="610">
        <v>4582214.86063</v>
      </c>
      <c r="HE39" s="608">
        <f t="shared" si="191"/>
        <v>0.9590290402708429</v>
      </c>
      <c r="HF39" s="616">
        <f t="shared" si="192"/>
        <v>195758.13936999999</v>
      </c>
      <c r="HG39" s="602">
        <f t="shared" ca="1" si="193"/>
        <v>195758.13936999999</v>
      </c>
      <c r="HH39" s="608">
        <f ca="1">(HG39+HD39)/FZ39</f>
        <v>1</v>
      </c>
      <c r="HI39" s="602">
        <f>'[1]GLOBAL OPERATION'!$AG$36</f>
        <v>343011.52</v>
      </c>
      <c r="HJ39" s="602">
        <f t="shared" si="194"/>
        <v>266253.48</v>
      </c>
      <c r="HK39" s="608">
        <f t="shared" si="195"/>
        <v>0.56299232682002087</v>
      </c>
      <c r="HL39" s="608"/>
      <c r="HM39" s="673"/>
      <c r="HN39" s="62"/>
      <c r="HO39" s="673"/>
      <c r="HP39" s="673">
        <f t="shared" si="196"/>
        <v>0</v>
      </c>
      <c r="HQ39" s="539"/>
      <c r="HR39" s="539"/>
      <c r="HS39" s="539"/>
      <c r="HT39" s="539"/>
      <c r="HU39" s="539"/>
      <c r="HV39" s="673"/>
      <c r="HW39" s="673">
        <f t="shared" si="197"/>
        <v>0</v>
      </c>
      <c r="HX39" s="539"/>
    </row>
    <row r="40" spans="1:232" ht="27.75" hidden="1" customHeight="1">
      <c r="A40" s="57" t="s">
        <v>296</v>
      </c>
      <c r="B40" s="6" t="s">
        <v>14</v>
      </c>
      <c r="C40" s="6" t="s">
        <v>90</v>
      </c>
      <c r="D40" s="6">
        <v>2013</v>
      </c>
      <c r="E40" s="6" t="s">
        <v>36</v>
      </c>
      <c r="F40" s="6" t="s">
        <v>40</v>
      </c>
      <c r="G40" s="6" t="s">
        <v>605</v>
      </c>
      <c r="H40" s="6" t="s">
        <v>187</v>
      </c>
      <c r="I40" s="31"/>
      <c r="J40" s="31"/>
      <c r="K40" s="180" t="s">
        <v>453</v>
      </c>
      <c r="L40" s="111" t="s">
        <v>45</v>
      </c>
      <c r="M40" s="67" t="s">
        <v>50</v>
      </c>
      <c r="N40" s="68">
        <v>41627</v>
      </c>
      <c r="O40" s="142">
        <v>11354</v>
      </c>
      <c r="P40" s="142">
        <v>444858</v>
      </c>
      <c r="Q40" s="142">
        <v>247250</v>
      </c>
      <c r="R40" s="142">
        <f t="shared" si="164"/>
        <v>13084.058823529413</v>
      </c>
      <c r="S40" s="142">
        <f t="shared" si="165"/>
        <v>39.180729258411134</v>
      </c>
      <c r="T40" s="142">
        <f t="shared" si="166"/>
        <v>21.776466443544127</v>
      </c>
      <c r="U40" s="142">
        <f t="shared" si="167"/>
        <v>93.321959817772139</v>
      </c>
      <c r="V40" s="142">
        <f t="shared" si="168"/>
        <v>7272.0588235294117</v>
      </c>
      <c r="W40" s="142">
        <f t="shared" si="169"/>
        <v>333.94117647058823</v>
      </c>
      <c r="X40" s="143"/>
      <c r="Y40" s="522">
        <f t="shared" si="170"/>
        <v>29.945393693852388</v>
      </c>
      <c r="Z40" s="143" t="s">
        <v>156</v>
      </c>
      <c r="AA40" s="145">
        <v>300</v>
      </c>
      <c r="AB40" s="146"/>
      <c r="AC40" s="6" t="s">
        <v>10</v>
      </c>
      <c r="AD40" s="493">
        <f t="shared" si="131"/>
        <v>34</v>
      </c>
      <c r="AE40" s="493">
        <f t="shared" si="171"/>
        <v>34</v>
      </c>
      <c r="AF40" s="7"/>
      <c r="AG40" s="6">
        <v>34</v>
      </c>
      <c r="AH40" s="42"/>
      <c r="AI40" s="42"/>
      <c r="AJ40" s="796">
        <v>2599.0999999999995</v>
      </c>
      <c r="AK40" s="278">
        <v>2649.4299999999994</v>
      </c>
      <c r="AL40" s="586">
        <f t="shared" si="133"/>
        <v>76.444117647058803</v>
      </c>
      <c r="AM40" s="8">
        <f t="shared" si="134"/>
        <v>77.924411764705866</v>
      </c>
      <c r="AN40" s="35">
        <v>5.3</v>
      </c>
      <c r="AO40" s="35">
        <v>5.2</v>
      </c>
      <c r="AP40" s="35">
        <v>405.3</v>
      </c>
      <c r="AQ40" s="37"/>
      <c r="AR40" s="37"/>
      <c r="AS40" s="37"/>
      <c r="AT40" s="37"/>
      <c r="AU40" s="37"/>
      <c r="AV40" s="8">
        <v>1035</v>
      </c>
      <c r="AW40" s="51" t="s">
        <v>235</v>
      </c>
      <c r="AX40" s="53" t="e">
        <f>AW40/O40</f>
        <v>#VALUE!</v>
      </c>
      <c r="AY40" s="37">
        <v>2</v>
      </c>
      <c r="AZ40" s="31" t="s">
        <v>397</v>
      </c>
      <c r="BA40" s="6" t="s">
        <v>99</v>
      </c>
      <c r="BB40" s="31"/>
      <c r="BC40" s="31"/>
      <c r="BD40" s="31"/>
      <c r="BE40" s="31"/>
      <c r="BF40" s="73">
        <v>41173</v>
      </c>
      <c r="BG40" s="73"/>
      <c r="BH40" s="73">
        <v>41348</v>
      </c>
      <c r="BI40" s="73"/>
      <c r="BJ40" s="660">
        <v>41363</v>
      </c>
      <c r="BK40" s="660">
        <v>41484</v>
      </c>
      <c r="BL40" s="661"/>
      <c r="BM40" s="659">
        <f t="shared" si="135"/>
        <v>4.0333333333333332</v>
      </c>
      <c r="BN40" s="578"/>
      <c r="BO40" s="109">
        <v>41549</v>
      </c>
      <c r="BP40" s="138">
        <v>41576</v>
      </c>
      <c r="BQ40" s="655">
        <f t="shared" si="156"/>
        <v>0.9</v>
      </c>
      <c r="BR40" s="139"/>
      <c r="BS40" s="110">
        <f>DATE(YEAR(BP40),MONTH(BP40)+3,DAY(BP40))</f>
        <v>41668</v>
      </c>
      <c r="BT40" s="110"/>
      <c r="BU40" s="202">
        <v>41671</v>
      </c>
      <c r="BV40" s="201">
        <f t="shared" si="172"/>
        <v>42401</v>
      </c>
      <c r="BW40" s="439">
        <f>72953+17154</f>
        <v>90107</v>
      </c>
      <c r="BX40" s="201" t="str">
        <f t="shared" si="173"/>
        <v>oui</v>
      </c>
      <c r="BY40" s="557">
        <f t="shared" si="174"/>
        <v>-22.4</v>
      </c>
      <c r="BZ40" s="439" t="str">
        <f t="shared" si="175"/>
        <v>0</v>
      </c>
      <c r="CA40" s="439">
        <f t="shared" si="176"/>
        <v>90107</v>
      </c>
      <c r="CB40" s="81"/>
      <c r="CC40" s="74"/>
      <c r="CD40" s="74"/>
      <c r="CE40" s="326" t="str">
        <f t="shared" si="136"/>
        <v>0</v>
      </c>
      <c r="CF40" s="81"/>
      <c r="CG40" s="81"/>
      <c r="CH40" s="326" t="str">
        <f t="shared" si="137"/>
        <v>0</v>
      </c>
      <c r="CI40" s="83"/>
      <c r="CJ40" s="81"/>
      <c r="CK40" s="326" t="str">
        <f t="shared" si="138"/>
        <v>0</v>
      </c>
      <c r="CL40" s="83"/>
      <c r="CM40" s="81"/>
      <c r="CN40" s="326" t="str">
        <f t="shared" si="139"/>
        <v>0</v>
      </c>
      <c r="CO40" s="83"/>
      <c r="CP40" s="365"/>
      <c r="CQ40" s="326" t="str">
        <f t="shared" si="140"/>
        <v>0</v>
      </c>
      <c r="CR40" s="292"/>
      <c r="CS40" s="159"/>
      <c r="CT40" s="81"/>
      <c r="CU40" s="159"/>
      <c r="CV40" s="326" t="str">
        <f t="shared" si="157"/>
        <v>0</v>
      </c>
      <c r="CW40" s="81"/>
      <c r="CX40" s="236">
        <v>41729</v>
      </c>
      <c r="CY40" s="230">
        <v>2014</v>
      </c>
      <c r="CZ40" s="285">
        <f t="shared" si="141"/>
        <v>8.1666666666666661</v>
      </c>
      <c r="DA40" s="326" t="str">
        <f t="shared" si="177"/>
        <v>0</v>
      </c>
      <c r="DB40" s="168">
        <v>18</v>
      </c>
      <c r="DC40" s="76">
        <f t="shared" si="178"/>
        <v>43</v>
      </c>
      <c r="DD40" s="81"/>
      <c r="DE40" s="159"/>
      <c r="DF40" s="326" t="str">
        <f t="shared" si="179"/>
        <v>0</v>
      </c>
      <c r="DG40" s="81"/>
      <c r="DH40" s="363"/>
      <c r="DI40" s="329" t="str">
        <f t="shared" si="180"/>
        <v>0</v>
      </c>
      <c r="DJ40" s="83"/>
      <c r="DK40" s="214"/>
      <c r="DL40" s="326" t="str">
        <f t="shared" si="181"/>
        <v>0</v>
      </c>
      <c r="DM40" s="159"/>
      <c r="DN40" s="81"/>
      <c r="DO40" s="326" t="str">
        <f t="shared" si="182"/>
        <v>0</v>
      </c>
      <c r="DP40" s="74"/>
      <c r="DQ40" s="74"/>
      <c r="DR40" s="326" t="str">
        <f t="shared" si="183"/>
        <v>0</v>
      </c>
      <c r="DS40" s="74"/>
      <c r="DT40" s="74"/>
      <c r="DU40" s="326" t="str">
        <f t="shared" si="184"/>
        <v>0</v>
      </c>
      <c r="DV40" s="74"/>
      <c r="DW40" s="74"/>
      <c r="DX40" s="326" t="str">
        <f t="shared" si="185"/>
        <v>0</v>
      </c>
      <c r="DY40" s="74"/>
      <c r="DZ40" s="74"/>
      <c r="EA40" s="74"/>
      <c r="EB40" s="367">
        <f t="shared" si="186"/>
        <v>42278</v>
      </c>
      <c r="EC40" s="238">
        <v>43068</v>
      </c>
      <c r="ED40" s="468">
        <f t="shared" si="142"/>
        <v>26.333333333333332</v>
      </c>
      <c r="EE40" s="620"/>
      <c r="EF40" s="403"/>
      <c r="EG40" s="75">
        <v>43131</v>
      </c>
      <c r="EH40" s="75">
        <v>42342</v>
      </c>
      <c r="EI40" s="75">
        <v>43054</v>
      </c>
      <c r="EJ40" s="293"/>
      <c r="EK40" s="533">
        <f>DATE(YEAR(EB40),MONTH(EB40)+1,DAY(EB40))</f>
        <v>42309</v>
      </c>
      <c r="EL40" s="384">
        <v>43073</v>
      </c>
      <c r="EM40" s="232">
        <v>2017</v>
      </c>
      <c r="EN40" s="464">
        <f t="shared" si="187"/>
        <v>25.466666666666665</v>
      </c>
      <c r="EO40" s="455">
        <f>170360/12</f>
        <v>14196.666666666666</v>
      </c>
      <c r="EP40" s="213">
        <f t="shared" si="158"/>
        <v>361541.77777777775</v>
      </c>
      <c r="EQ40" s="214">
        <v>42982</v>
      </c>
      <c r="ER40" s="349">
        <v>51376</v>
      </c>
      <c r="ES40" s="349">
        <v>0</v>
      </c>
      <c r="ET40" s="353">
        <f>30000*1.021</f>
        <v>30629.999999999996</v>
      </c>
      <c r="EU40" s="353"/>
      <c r="EV40" s="353">
        <f>124948*1.021</f>
        <v>127571.90799999998</v>
      </c>
      <c r="EW40" s="483">
        <f t="shared" si="159"/>
        <v>2.1677246353851463E-2</v>
      </c>
      <c r="EX40" s="350"/>
      <c r="EY40" s="362" t="s">
        <v>566</v>
      </c>
      <c r="EZ40" s="350"/>
      <c r="FA40" s="350"/>
      <c r="FB40" s="126">
        <f t="shared" si="143"/>
        <v>731</v>
      </c>
      <c r="FC40" s="438" t="s">
        <v>699</v>
      </c>
      <c r="FD40" s="214">
        <v>43164</v>
      </c>
      <c r="FE40" s="79"/>
      <c r="FF40" s="79"/>
      <c r="FG40" s="214">
        <v>43236</v>
      </c>
      <c r="FH40" s="215">
        <v>43767</v>
      </c>
      <c r="FI40" s="214">
        <f t="shared" si="144"/>
        <v>43433</v>
      </c>
      <c r="FJ40" s="443">
        <v>56500</v>
      </c>
      <c r="FK40" s="214">
        <v>43153</v>
      </c>
      <c r="FL40" s="81">
        <v>43171</v>
      </c>
      <c r="FM40" s="81"/>
      <c r="FN40" s="80"/>
      <c r="FO40" s="80"/>
      <c r="FP40" s="215">
        <v>43213</v>
      </c>
      <c r="FQ40" s="31"/>
      <c r="FR40" s="31" t="s">
        <v>869</v>
      </c>
      <c r="FS40" s="31"/>
      <c r="FT40" s="215">
        <v>43242</v>
      </c>
      <c r="FU40" s="74" t="s">
        <v>105</v>
      </c>
      <c r="FV40" s="161">
        <v>43697</v>
      </c>
      <c r="FW40" s="31" t="s">
        <v>105</v>
      </c>
      <c r="FX40" s="388">
        <v>5039187</v>
      </c>
      <c r="FY40" s="652">
        <f t="shared" si="145"/>
        <v>5885060.5800000001</v>
      </c>
      <c r="FZ40" s="550">
        <f t="shared" si="146"/>
        <v>5885060.5800000001</v>
      </c>
      <c r="GA40" s="500">
        <f t="shared" si="160"/>
        <v>5885060.5800000001</v>
      </c>
      <c r="GB40" s="610">
        <f>GM40+GN40+GR40</f>
        <v>680000</v>
      </c>
      <c r="GC40" s="28">
        <f t="shared" si="147"/>
        <v>2221.2553568125982</v>
      </c>
      <c r="GD40" s="28">
        <f t="shared" si="161"/>
        <v>173090.01705882352</v>
      </c>
      <c r="GE40" s="413">
        <v>1600171.58</v>
      </c>
      <c r="GF40" s="417"/>
      <c r="GG40" s="415">
        <f t="shared" si="162"/>
        <v>47063.87</v>
      </c>
      <c r="GH40" s="9">
        <f>+GI40+GJ40</f>
        <v>3023907</v>
      </c>
      <c r="GI40" s="10">
        <v>650910</v>
      </c>
      <c r="GJ40" s="10">
        <v>2372997</v>
      </c>
      <c r="GK40" s="407">
        <f t="shared" si="163"/>
        <v>88938.441176470587</v>
      </c>
      <c r="GL40" s="9">
        <v>580982</v>
      </c>
      <c r="GM40" s="45">
        <v>680000</v>
      </c>
      <c r="GN40" s="45"/>
      <c r="GO40" s="23">
        <f t="shared" si="148"/>
        <v>0.11554681396329823</v>
      </c>
      <c r="GP40" s="45"/>
      <c r="GQ40" s="45"/>
      <c r="GR40" s="9">
        <v>0</v>
      </c>
      <c r="GS40" s="28">
        <f t="shared" si="188"/>
        <v>20000</v>
      </c>
      <c r="GT40" s="28">
        <f t="shared" si="189"/>
        <v>67063.87</v>
      </c>
      <c r="GU40" s="680">
        <v>1298644.9078014998</v>
      </c>
      <c r="GV40" s="680">
        <v>680000</v>
      </c>
      <c r="GW40" s="680" t="e">
        <f>(#REF!+#REF!+GV40)/AD40</f>
        <v>#REF!</v>
      </c>
      <c r="GX40" s="680">
        <v>0</v>
      </c>
      <c r="GY40" s="680">
        <f t="shared" si="190"/>
        <v>87063.87</v>
      </c>
      <c r="GZ40" s="681">
        <f>(GE40+GM40+GV40+GX40)/(GU40+FZ40-HA40)</f>
        <v>0.42707533654989638</v>
      </c>
      <c r="HA40" s="680">
        <v>252442.25</v>
      </c>
      <c r="HB40" s="680"/>
      <c r="HC40" s="9">
        <v>0</v>
      </c>
      <c r="HD40" s="602"/>
      <c r="HE40" s="608">
        <f t="shared" si="191"/>
        <v>0</v>
      </c>
      <c r="HF40" s="616">
        <f t="shared" si="192"/>
        <v>5885060.5800000001</v>
      </c>
      <c r="HG40" s="602">
        <f t="shared" ca="1" si="193"/>
        <v>5885060.5800000001</v>
      </c>
      <c r="HH40" s="602"/>
      <c r="HI40" s="602"/>
      <c r="HJ40" s="602">
        <f t="shared" si="194"/>
        <v>680000</v>
      </c>
      <c r="HK40" s="609">
        <f t="shared" si="195"/>
        <v>0</v>
      </c>
      <c r="HL40" s="609"/>
      <c r="HM40" s="673"/>
      <c r="HN40" s="62"/>
      <c r="HO40" s="673"/>
      <c r="HP40" s="673">
        <f t="shared" si="196"/>
        <v>0</v>
      </c>
      <c r="HQ40" s="539"/>
      <c r="HR40" s="539"/>
      <c r="HS40" s="539"/>
      <c r="HT40" s="539"/>
      <c r="HU40" s="539"/>
      <c r="HV40" s="673"/>
      <c r="HW40" s="673">
        <f t="shared" si="197"/>
        <v>0</v>
      </c>
      <c r="HX40" s="539"/>
    </row>
    <row r="41" spans="1:232" ht="39.75" hidden="1" customHeight="1">
      <c r="A41" s="747" t="s">
        <v>197</v>
      </c>
      <c r="B41" s="6" t="s">
        <v>14</v>
      </c>
      <c r="C41" s="6" t="s">
        <v>90</v>
      </c>
      <c r="D41" s="6">
        <v>2015</v>
      </c>
      <c r="E41" s="6" t="s">
        <v>183</v>
      </c>
      <c r="F41" s="6" t="s">
        <v>709</v>
      </c>
      <c r="G41" s="6" t="s">
        <v>606</v>
      </c>
      <c r="H41" s="6" t="s">
        <v>187</v>
      </c>
      <c r="I41" s="33"/>
      <c r="J41" s="31"/>
      <c r="K41" s="180"/>
      <c r="L41" s="111" t="s">
        <v>44</v>
      </c>
      <c r="M41" s="67" t="s">
        <v>52</v>
      </c>
      <c r="N41" s="68"/>
      <c r="O41" s="142">
        <v>779</v>
      </c>
      <c r="P41" s="142">
        <v>195000</v>
      </c>
      <c r="Q41" s="142">
        <f>P41</f>
        <v>195000</v>
      </c>
      <c r="R41" s="142">
        <f t="shared" si="164"/>
        <v>9750</v>
      </c>
      <c r="S41" s="142">
        <f t="shared" si="165"/>
        <v>250.32092426187421</v>
      </c>
      <c r="T41" s="148">
        <f t="shared" si="166"/>
        <v>250.32092426187421</v>
      </c>
      <c r="U41" s="148">
        <f t="shared" si="167"/>
        <v>150.05655978022486</v>
      </c>
      <c r="V41" s="148">
        <f t="shared" si="168"/>
        <v>9750</v>
      </c>
      <c r="W41" s="142">
        <f t="shared" si="169"/>
        <v>38.950000000000003</v>
      </c>
      <c r="X41" s="143"/>
      <c r="Y41" s="522">
        <f t="shared" si="170"/>
        <v>256.73940949935815</v>
      </c>
      <c r="Z41" s="143" t="s">
        <v>153</v>
      </c>
      <c r="AA41" s="145">
        <v>35</v>
      </c>
      <c r="AB41" s="146">
        <v>0</v>
      </c>
      <c r="AC41" s="15" t="s">
        <v>10</v>
      </c>
      <c r="AD41" s="493">
        <f t="shared" si="131"/>
        <v>20</v>
      </c>
      <c r="AE41" s="493">
        <f t="shared" si="171"/>
        <v>20</v>
      </c>
      <c r="AF41" s="7"/>
      <c r="AG41" s="6">
        <v>20</v>
      </c>
      <c r="AH41" s="42"/>
      <c r="AI41" s="42"/>
      <c r="AJ41" s="796">
        <v>1299.51</v>
      </c>
      <c r="AK41" s="278">
        <v>1299.51</v>
      </c>
      <c r="AL41" s="586">
        <f t="shared" si="133"/>
        <v>64.975499999999997</v>
      </c>
      <c r="AM41" s="8">
        <f t="shared" si="134"/>
        <v>64.975499999999997</v>
      </c>
      <c r="AN41" s="35">
        <v>5.59</v>
      </c>
      <c r="AO41" s="35">
        <v>5.59</v>
      </c>
      <c r="AP41" s="35">
        <v>363.43</v>
      </c>
      <c r="AQ41" s="53">
        <v>0.2</v>
      </c>
      <c r="AR41" s="53">
        <v>0.4</v>
      </c>
      <c r="AS41" s="53">
        <v>0.2</v>
      </c>
      <c r="AT41" s="53">
        <v>0.2</v>
      </c>
      <c r="AU41" s="53">
        <v>0</v>
      </c>
      <c r="AV41" s="8"/>
      <c r="AW41" s="51">
        <v>0</v>
      </c>
      <c r="AX41" s="53">
        <f>AW41/O41</f>
        <v>0</v>
      </c>
      <c r="AY41" s="35">
        <v>4</v>
      </c>
      <c r="AZ41" s="34" t="s">
        <v>398</v>
      </c>
      <c r="BA41" s="6" t="s">
        <v>99</v>
      </c>
      <c r="BB41" s="31"/>
      <c r="BC41" s="31"/>
      <c r="BD41" s="31"/>
      <c r="BE41" s="31"/>
      <c r="BF41" s="73">
        <v>41921</v>
      </c>
      <c r="BG41" s="73"/>
      <c r="BH41" s="31"/>
      <c r="BI41" s="31"/>
      <c r="BJ41" s="660">
        <v>42093</v>
      </c>
      <c r="BK41" s="660">
        <v>42249</v>
      </c>
      <c r="BL41" s="661"/>
      <c r="BM41" s="659">
        <f t="shared" si="135"/>
        <v>5.2</v>
      </c>
      <c r="BN41" s="578"/>
      <c r="BO41" s="109">
        <v>42606</v>
      </c>
      <c r="BP41" s="138">
        <v>42620</v>
      </c>
      <c r="BQ41" s="654">
        <f t="shared" si="156"/>
        <v>0.46666666666666667</v>
      </c>
      <c r="BR41" s="139"/>
      <c r="BS41" s="110">
        <v>42711</v>
      </c>
      <c r="BT41" s="110">
        <v>42646</v>
      </c>
      <c r="BU41" s="202">
        <v>42736</v>
      </c>
      <c r="BV41" s="201">
        <f t="shared" si="172"/>
        <v>43466</v>
      </c>
      <c r="BW41" s="439">
        <f>34022+7868</f>
        <v>41890</v>
      </c>
      <c r="BX41" s="201" t="str">
        <f t="shared" si="173"/>
        <v>non</v>
      </c>
      <c r="BY41" s="557">
        <f t="shared" si="174"/>
        <v>4.333333333333333</v>
      </c>
      <c r="BZ41" s="439">
        <f t="shared" si="175"/>
        <v>37459.03043455728</v>
      </c>
      <c r="CA41" s="439">
        <f t="shared" si="176"/>
        <v>4430.9695654427196</v>
      </c>
      <c r="CB41" s="81">
        <v>41828</v>
      </c>
      <c r="CC41" s="81">
        <v>41829</v>
      </c>
      <c r="CD41" s="81">
        <v>41862</v>
      </c>
      <c r="CE41" s="326">
        <f t="shared" si="136"/>
        <v>33</v>
      </c>
      <c r="CF41" s="81">
        <v>42048</v>
      </c>
      <c r="CG41" s="81">
        <v>42040</v>
      </c>
      <c r="CH41" s="326">
        <f t="shared" si="137"/>
        <v>-8</v>
      </c>
      <c r="CI41" s="81">
        <v>42027</v>
      </c>
      <c r="CJ41" s="81">
        <v>42027</v>
      </c>
      <c r="CK41" s="326">
        <f t="shared" si="138"/>
        <v>0</v>
      </c>
      <c r="CL41" s="81">
        <v>42121</v>
      </c>
      <c r="CM41" s="81">
        <v>42184</v>
      </c>
      <c r="CN41" s="326">
        <f t="shared" si="139"/>
        <v>63</v>
      </c>
      <c r="CO41" s="81">
        <v>42244</v>
      </c>
      <c r="CP41" s="81">
        <v>42254</v>
      </c>
      <c r="CQ41" s="326">
        <f t="shared" si="140"/>
        <v>10</v>
      </c>
      <c r="CR41" s="290"/>
      <c r="CS41" s="81">
        <v>42528</v>
      </c>
      <c r="CT41" s="81">
        <v>42810</v>
      </c>
      <c r="CU41" s="81">
        <v>42781</v>
      </c>
      <c r="CV41" s="326">
        <f t="shared" si="157"/>
        <v>-29</v>
      </c>
      <c r="CW41" s="81">
        <v>42796</v>
      </c>
      <c r="CX41" s="282">
        <v>42786</v>
      </c>
      <c r="CY41" s="232">
        <v>2017</v>
      </c>
      <c r="CZ41" s="286">
        <f t="shared" si="141"/>
        <v>17.899999999999999</v>
      </c>
      <c r="DA41" s="326">
        <f t="shared" si="177"/>
        <v>-10</v>
      </c>
      <c r="DB41" s="221">
        <v>14</v>
      </c>
      <c r="DC41" s="76">
        <f t="shared" si="178"/>
        <v>17</v>
      </c>
      <c r="DD41" s="81">
        <v>42860</v>
      </c>
      <c r="DE41" s="81">
        <v>42893</v>
      </c>
      <c r="DF41" s="326">
        <f t="shared" si="179"/>
        <v>33</v>
      </c>
      <c r="DG41" s="81">
        <v>42899</v>
      </c>
      <c r="DH41" s="363">
        <v>42978</v>
      </c>
      <c r="DI41" s="329">
        <f t="shared" si="180"/>
        <v>79</v>
      </c>
      <c r="DJ41" s="81">
        <v>42978</v>
      </c>
      <c r="DK41" s="81">
        <v>43054</v>
      </c>
      <c r="DL41" s="326">
        <f t="shared" si="181"/>
        <v>76</v>
      </c>
      <c r="DM41" s="81">
        <v>43054</v>
      </c>
      <c r="DN41" s="81">
        <v>43181</v>
      </c>
      <c r="DO41" s="326">
        <f t="shared" si="182"/>
        <v>127</v>
      </c>
      <c r="DP41" s="81">
        <v>43047</v>
      </c>
      <c r="DQ41" s="81">
        <v>43604</v>
      </c>
      <c r="DR41" s="326">
        <f t="shared" si="183"/>
        <v>557</v>
      </c>
      <c r="DS41" s="81">
        <v>43167</v>
      </c>
      <c r="DT41" s="214">
        <v>43665</v>
      </c>
      <c r="DU41" s="448">
        <f t="shared" si="184"/>
        <v>498</v>
      </c>
      <c r="DV41" s="214">
        <v>43200</v>
      </c>
      <c r="DW41" s="214">
        <v>43313</v>
      </c>
      <c r="DX41" s="448">
        <f t="shared" si="185"/>
        <v>113</v>
      </c>
      <c r="DY41" s="220"/>
      <c r="DZ41" s="220"/>
      <c r="EA41" s="220"/>
      <c r="EB41" s="383">
        <f t="shared" si="186"/>
        <v>43210</v>
      </c>
      <c r="EC41" s="238">
        <v>43326</v>
      </c>
      <c r="ED41" s="501">
        <f t="shared" si="142"/>
        <v>3.8666666666666667</v>
      </c>
      <c r="EE41" s="620">
        <f ca="1">IF(((EC41-TODAY())/30)&lt;0,0,(EC41-TODAY())/30)</f>
        <v>0</v>
      </c>
      <c r="EF41" s="293">
        <f>DATE(YEAR(DH41)+2,MONTH(DH41),DAY(DH41))</f>
        <v>43708</v>
      </c>
      <c r="EG41" s="167">
        <v>43361</v>
      </c>
      <c r="EH41" s="167">
        <v>42879</v>
      </c>
      <c r="EI41" s="75">
        <v>43327</v>
      </c>
      <c r="EJ41" s="293">
        <v>43328</v>
      </c>
      <c r="EK41" s="533">
        <f>DATE(YEAR(EB41),MONTH(EB41),DAY(EB41)+15)</f>
        <v>43225</v>
      </c>
      <c r="EL41" s="238">
        <v>43336</v>
      </c>
      <c r="EM41" s="283">
        <v>2018</v>
      </c>
      <c r="EN41" s="497">
        <f t="shared" si="187"/>
        <v>3.7</v>
      </c>
      <c r="EO41" s="456">
        <v>8644.3916387439876</v>
      </c>
      <c r="EP41" s="508">
        <f t="shared" si="158"/>
        <v>31984.249063352756</v>
      </c>
      <c r="EQ41" s="214">
        <v>43307</v>
      </c>
      <c r="ER41" s="353">
        <v>0</v>
      </c>
      <c r="ES41" s="353">
        <f>31976-22182.97</f>
        <v>9793.0299999999988</v>
      </c>
      <c r="ET41" s="353">
        <v>11509.23</v>
      </c>
      <c r="EU41" s="353">
        <v>0</v>
      </c>
      <c r="EV41" s="353">
        <f>(10675+20610)*1.021</f>
        <v>31941.984999999997</v>
      </c>
      <c r="EW41" s="483">
        <f t="shared" si="159"/>
        <v>1.1525215067660913E-2</v>
      </c>
      <c r="EX41" s="350" t="s">
        <v>507</v>
      </c>
      <c r="EY41" s="422" t="s">
        <v>584</v>
      </c>
      <c r="EZ41" s="422" t="s">
        <v>597</v>
      </c>
      <c r="FA41" s="422"/>
      <c r="FB41" s="126">
        <f t="shared" si="143"/>
        <v>43708</v>
      </c>
      <c r="FC41" s="218" t="s">
        <v>105</v>
      </c>
      <c r="FD41" s="81">
        <v>43440</v>
      </c>
      <c r="FE41" s="80"/>
      <c r="FF41" s="218" t="s">
        <v>105</v>
      </c>
      <c r="FG41" s="214">
        <v>43685</v>
      </c>
      <c r="FH41" s="73">
        <v>43474</v>
      </c>
      <c r="FI41" s="214">
        <f t="shared" si="144"/>
        <v>43691</v>
      </c>
      <c r="FJ41" s="194"/>
      <c r="FK41" s="31"/>
      <c r="FL41" s="73">
        <v>43419</v>
      </c>
      <c r="FM41" s="73">
        <v>43529</v>
      </c>
      <c r="FN41" s="31"/>
      <c r="FO41" s="31"/>
      <c r="FP41" s="31"/>
      <c r="FQ41" s="31"/>
      <c r="FR41" s="126" t="s">
        <v>886</v>
      </c>
      <c r="FS41" s="126"/>
      <c r="FT41" s="215">
        <v>43389</v>
      </c>
      <c r="FU41" s="31"/>
      <c r="FV41" s="31"/>
      <c r="FW41" s="31"/>
      <c r="FX41" s="529"/>
      <c r="FY41" s="652">
        <f t="shared" si="145"/>
        <v>2771487.11</v>
      </c>
      <c r="FZ41" s="550">
        <f t="shared" si="146"/>
        <v>2771487.11</v>
      </c>
      <c r="GA41" s="500">
        <f t="shared" si="160"/>
        <v>2771487.11</v>
      </c>
      <c r="GB41" s="610">
        <f>GM41+GN41+GR41+GQ41+GV41+GX41</f>
        <v>411757</v>
      </c>
      <c r="GC41" s="28">
        <f t="shared" si="147"/>
        <v>2132.7170318042954</v>
      </c>
      <c r="GD41" s="28">
        <f t="shared" si="161"/>
        <v>138574.35550000001</v>
      </c>
      <c r="GE41" s="413">
        <v>803098</v>
      </c>
      <c r="GF41" s="417"/>
      <c r="GG41" s="415">
        <f t="shared" si="162"/>
        <v>40154.9</v>
      </c>
      <c r="GH41" s="9">
        <f>GJ41+GI41</f>
        <v>1544668</v>
      </c>
      <c r="GI41" s="10">
        <v>339371</v>
      </c>
      <c r="GJ41" s="10">
        <v>1205297</v>
      </c>
      <c r="GK41" s="407">
        <f t="shared" si="163"/>
        <v>77233.399999999994</v>
      </c>
      <c r="GL41" s="9"/>
      <c r="GM41" s="9">
        <v>400000</v>
      </c>
      <c r="GN41" s="45"/>
      <c r="GO41" s="23">
        <f t="shared" si="148"/>
        <v>0.14432684841171786</v>
      </c>
      <c r="GP41" s="60"/>
      <c r="GQ41" s="60"/>
      <c r="GR41" s="9">
        <v>11757</v>
      </c>
      <c r="GS41" s="28">
        <f t="shared" si="188"/>
        <v>20000</v>
      </c>
      <c r="GT41" s="28">
        <f t="shared" si="189"/>
        <v>60154.9</v>
      </c>
      <c r="GU41" s="680">
        <v>0</v>
      </c>
      <c r="GV41" s="680">
        <v>0</v>
      </c>
      <c r="GW41" s="680">
        <f>(GE41+GM41+GV41)/AD41</f>
        <v>60154.9</v>
      </c>
      <c r="GX41" s="680">
        <v>0</v>
      </c>
      <c r="GY41" s="680">
        <f t="shared" si="190"/>
        <v>60154.9</v>
      </c>
      <c r="GZ41" s="681">
        <f>(GE41+GM41+GV41+GX41)/(GU41+FZ41-HA41)</f>
        <v>0.4340983566761023</v>
      </c>
      <c r="HA41" s="680">
        <v>0</v>
      </c>
      <c r="HB41" s="680"/>
      <c r="HC41" s="9">
        <v>11964.11</v>
      </c>
      <c r="HD41" s="610">
        <v>2524740.5956999999</v>
      </c>
      <c r="HE41" s="608">
        <f t="shared" si="191"/>
        <v>0.91096963308626033</v>
      </c>
      <c r="HF41" s="616">
        <f t="shared" si="192"/>
        <v>246746.51429999992</v>
      </c>
      <c r="HG41" s="602">
        <f t="shared" ca="1" si="193"/>
        <v>246746.51429999992</v>
      </c>
      <c r="HH41" s="608">
        <f ca="1">(HG41+HD41)/FZ41</f>
        <v>1</v>
      </c>
      <c r="HI41" s="602">
        <f>'[1]GLOBAL OPERATION'!$AG$37</f>
        <v>316226.06</v>
      </c>
      <c r="HJ41" s="602">
        <f t="shared" si="194"/>
        <v>95530.94</v>
      </c>
      <c r="HK41" s="608">
        <f t="shared" si="195"/>
        <v>0.76799194670643123</v>
      </c>
      <c r="HL41" s="608"/>
      <c r="HM41" s="673"/>
      <c r="HN41" s="62"/>
      <c r="HO41" s="673"/>
      <c r="HP41" s="673">
        <f t="shared" si="196"/>
        <v>0</v>
      </c>
      <c r="HQ41" s="539"/>
      <c r="HR41" s="539"/>
      <c r="HS41" s="539"/>
      <c r="HT41" s="539"/>
      <c r="HU41" s="539"/>
      <c r="HV41" s="673"/>
      <c r="HW41" s="673">
        <f t="shared" si="197"/>
        <v>0</v>
      </c>
      <c r="HX41" s="539"/>
    </row>
    <row r="42" spans="1:232" s="21" customFormat="1" ht="20.100000000000001" hidden="1" customHeight="1">
      <c r="A42" s="767" t="s">
        <v>114</v>
      </c>
      <c r="B42" s="6" t="s">
        <v>26</v>
      </c>
      <c r="C42" s="6" t="s">
        <v>91</v>
      </c>
      <c r="D42" s="6">
        <v>2013</v>
      </c>
      <c r="E42" s="6" t="s">
        <v>27</v>
      </c>
      <c r="F42" s="6"/>
      <c r="G42" s="6" t="s">
        <v>606</v>
      </c>
      <c r="H42" s="6" t="s">
        <v>666</v>
      </c>
      <c r="I42" s="31"/>
      <c r="J42" s="31"/>
      <c r="K42" s="270" t="s">
        <v>452</v>
      </c>
      <c r="L42" s="111" t="s">
        <v>43</v>
      </c>
      <c r="M42" s="67" t="s">
        <v>115</v>
      </c>
      <c r="N42" s="68">
        <v>41619</v>
      </c>
      <c r="O42" s="142">
        <v>15520</v>
      </c>
      <c r="P42" s="142">
        <v>130195</v>
      </c>
      <c r="Q42" s="142">
        <v>184575</v>
      </c>
      <c r="R42" s="142">
        <f t="shared" si="164"/>
        <v>5424.791666666667</v>
      </c>
      <c r="S42" s="142">
        <f t="shared" si="165"/>
        <v>8.3888530927835046</v>
      </c>
      <c r="T42" s="142">
        <f t="shared" si="166"/>
        <v>11.892719072164949</v>
      </c>
      <c r="U42" s="142">
        <f t="shared" si="167"/>
        <v>99.719601931991306</v>
      </c>
      <c r="V42" s="142">
        <f t="shared" si="168"/>
        <v>7690.625</v>
      </c>
      <c r="W42" s="142">
        <f t="shared" si="169"/>
        <v>646.66666666666663</v>
      </c>
      <c r="X42" s="143"/>
      <c r="Y42" s="522">
        <f t="shared" si="170"/>
        <v>15.463917525773196</v>
      </c>
      <c r="Z42" s="143" t="s">
        <v>168</v>
      </c>
      <c r="AA42" s="145">
        <v>790</v>
      </c>
      <c r="AB42" s="146"/>
      <c r="AC42" s="6" t="s">
        <v>10</v>
      </c>
      <c r="AD42" s="493">
        <f t="shared" si="131"/>
        <v>24</v>
      </c>
      <c r="AE42" s="493">
        <f t="shared" si="171"/>
        <v>24</v>
      </c>
      <c r="AF42" s="7"/>
      <c r="AG42" s="6">
        <v>24</v>
      </c>
      <c r="AH42" s="42"/>
      <c r="AI42" s="42"/>
      <c r="AJ42" s="796">
        <v>1832.54</v>
      </c>
      <c r="AK42" s="278">
        <v>1850.94</v>
      </c>
      <c r="AL42" s="586">
        <f t="shared" si="133"/>
        <v>76.355833333333337</v>
      </c>
      <c r="AM42" s="8">
        <f t="shared" si="134"/>
        <v>77.122500000000002</v>
      </c>
      <c r="AN42" s="35">
        <v>5.27</v>
      </c>
      <c r="AO42" s="35">
        <v>5.22</v>
      </c>
      <c r="AP42" s="35">
        <v>402.32</v>
      </c>
      <c r="AQ42" s="37"/>
      <c r="AR42" s="37"/>
      <c r="AS42" s="37"/>
      <c r="AT42" s="37"/>
      <c r="AU42" s="37"/>
      <c r="AV42" s="8"/>
      <c r="AW42" s="51">
        <v>700</v>
      </c>
      <c r="AX42" s="53">
        <f>AW42/O42</f>
        <v>4.5103092783505154E-2</v>
      </c>
      <c r="AY42" s="35">
        <v>1.5</v>
      </c>
      <c r="AZ42" s="32" t="s">
        <v>397</v>
      </c>
      <c r="BA42" s="15" t="s">
        <v>99</v>
      </c>
      <c r="BB42" s="32"/>
      <c r="BC42" s="32"/>
      <c r="BD42" s="32"/>
      <c r="BE42" s="32"/>
      <c r="BF42" s="31"/>
      <c r="BG42" s="31"/>
      <c r="BH42" s="126">
        <v>41346</v>
      </c>
      <c r="BI42" s="126"/>
      <c r="BJ42" s="660">
        <v>41363</v>
      </c>
      <c r="BK42" s="660">
        <v>41536</v>
      </c>
      <c r="BL42" s="661"/>
      <c r="BM42" s="659">
        <f t="shared" si="135"/>
        <v>5.7666666666666666</v>
      </c>
      <c r="BN42" s="578"/>
      <c r="BO42" s="109">
        <v>41550</v>
      </c>
      <c r="BP42" s="138">
        <v>41575</v>
      </c>
      <c r="BQ42" s="655">
        <f t="shared" si="156"/>
        <v>0.83333333333333337</v>
      </c>
      <c r="BR42" s="139"/>
      <c r="BS42" s="110">
        <v>41577</v>
      </c>
      <c r="BT42" s="110"/>
      <c r="BU42" s="202">
        <v>41579</v>
      </c>
      <c r="BV42" s="201">
        <f t="shared" si="172"/>
        <v>42309</v>
      </c>
      <c r="BW42" s="439">
        <f>55226+6729</f>
        <v>61955</v>
      </c>
      <c r="BX42" s="201" t="str">
        <f t="shared" si="173"/>
        <v>oui</v>
      </c>
      <c r="BY42" s="557">
        <f t="shared" si="174"/>
        <v>-15.5</v>
      </c>
      <c r="BZ42" s="439" t="str">
        <f t="shared" si="175"/>
        <v>0</v>
      </c>
      <c r="CA42" s="439">
        <f t="shared" si="176"/>
        <v>61955</v>
      </c>
      <c r="CB42" s="81"/>
      <c r="CC42" s="74"/>
      <c r="CD42" s="74"/>
      <c r="CE42" s="326" t="str">
        <f t="shared" si="136"/>
        <v>0</v>
      </c>
      <c r="CF42" s="81"/>
      <c r="CG42" s="81"/>
      <c r="CH42" s="326" t="str">
        <f t="shared" si="137"/>
        <v>0</v>
      </c>
      <c r="CI42" s="83"/>
      <c r="CJ42" s="81"/>
      <c r="CK42" s="326" t="str">
        <f t="shared" si="138"/>
        <v>0</v>
      </c>
      <c r="CL42" s="83"/>
      <c r="CM42" s="81"/>
      <c r="CN42" s="326" t="str">
        <f t="shared" si="139"/>
        <v>0</v>
      </c>
      <c r="CO42" s="83"/>
      <c r="CP42" s="365"/>
      <c r="CQ42" s="326" t="str">
        <f t="shared" si="140"/>
        <v>0</v>
      </c>
      <c r="CR42" s="292"/>
      <c r="CS42" s="159"/>
      <c r="CT42" s="81"/>
      <c r="CU42" s="159"/>
      <c r="CV42" s="326" t="str">
        <f t="shared" si="157"/>
        <v>0</v>
      </c>
      <c r="CW42" s="81"/>
      <c r="CX42" s="236">
        <v>41876</v>
      </c>
      <c r="CY42" s="230">
        <v>2014</v>
      </c>
      <c r="CZ42" s="285">
        <f t="shared" si="141"/>
        <v>11.333333333333334</v>
      </c>
      <c r="DA42" s="326" t="str">
        <f t="shared" si="177"/>
        <v>0</v>
      </c>
      <c r="DB42" s="76">
        <v>14</v>
      </c>
      <c r="DC42" s="168">
        <f t="shared" si="178"/>
        <v>27</v>
      </c>
      <c r="DD42" s="81"/>
      <c r="DE42" s="159"/>
      <c r="DF42" s="326" t="str">
        <f t="shared" si="179"/>
        <v>0</v>
      </c>
      <c r="DG42" s="81"/>
      <c r="DH42" s="363"/>
      <c r="DI42" s="329" t="str">
        <f t="shared" si="180"/>
        <v>0</v>
      </c>
      <c r="DJ42" s="83"/>
      <c r="DK42" s="214"/>
      <c r="DL42" s="326" t="str">
        <f t="shared" si="181"/>
        <v>0</v>
      </c>
      <c r="DM42" s="159"/>
      <c r="DN42" s="81"/>
      <c r="DO42" s="326" t="str">
        <f t="shared" si="182"/>
        <v>0</v>
      </c>
      <c r="DP42" s="74"/>
      <c r="DQ42" s="74"/>
      <c r="DR42" s="326" t="str">
        <f t="shared" si="183"/>
        <v>0</v>
      </c>
      <c r="DS42" s="74"/>
      <c r="DT42" s="74"/>
      <c r="DU42" s="326" t="str">
        <f t="shared" si="184"/>
        <v>0</v>
      </c>
      <c r="DV42" s="74"/>
      <c r="DW42" s="74"/>
      <c r="DX42" s="326" t="str">
        <f t="shared" si="185"/>
        <v>0</v>
      </c>
      <c r="DY42" s="74"/>
      <c r="DZ42" s="74"/>
      <c r="EA42" s="74"/>
      <c r="EB42" s="367">
        <f t="shared" si="186"/>
        <v>42302</v>
      </c>
      <c r="EC42" s="238">
        <v>42704</v>
      </c>
      <c r="ED42" s="468">
        <f t="shared" si="142"/>
        <v>13.4</v>
      </c>
      <c r="EE42" s="620"/>
      <c r="EF42" s="771"/>
      <c r="EG42" s="75">
        <v>42774</v>
      </c>
      <c r="EH42" s="75" t="s">
        <v>105</v>
      </c>
      <c r="EI42" s="75" t="s">
        <v>105</v>
      </c>
      <c r="EJ42" s="760"/>
      <c r="EK42" s="533">
        <f t="shared" ref="EK42:EK53" si="198">DATE(YEAR(EB42),MONTH(EB42)+1,DAY(EB42))</f>
        <v>42333</v>
      </c>
      <c r="EL42" s="238">
        <v>42774</v>
      </c>
      <c r="EM42" s="232">
        <v>2017</v>
      </c>
      <c r="EN42" s="465">
        <f t="shared" si="187"/>
        <v>14.7</v>
      </c>
      <c r="EO42" s="455">
        <f>115866.7697376/12</f>
        <v>9655.5641448000006</v>
      </c>
      <c r="EP42" s="213">
        <f t="shared" si="158"/>
        <v>141936.79292856</v>
      </c>
      <c r="EQ42" s="75"/>
      <c r="ER42" s="349"/>
      <c r="ES42" s="454">
        <f>HC42</f>
        <v>384475</v>
      </c>
      <c r="ET42" s="353"/>
      <c r="EU42" s="353"/>
      <c r="EV42" s="353">
        <f>58276*1.021</f>
        <v>59499.795999999995</v>
      </c>
      <c r="EW42" s="483">
        <f t="shared" si="159"/>
        <v>1.4195146960832471E-2</v>
      </c>
      <c r="EX42" s="350"/>
      <c r="EY42" s="362" t="s">
        <v>523</v>
      </c>
      <c r="EZ42" s="350"/>
      <c r="FA42" s="350"/>
      <c r="FB42" s="126">
        <f t="shared" si="143"/>
        <v>731</v>
      </c>
      <c r="FC42" s="79" t="s">
        <v>379</v>
      </c>
      <c r="FD42" s="163" t="s">
        <v>105</v>
      </c>
      <c r="FE42" s="77" t="s">
        <v>380</v>
      </c>
      <c r="FF42" s="77" t="s">
        <v>381</v>
      </c>
      <c r="FG42" s="75">
        <v>42912</v>
      </c>
      <c r="FH42" s="163" t="s">
        <v>105</v>
      </c>
      <c r="FI42" s="215">
        <v>43069</v>
      </c>
      <c r="FJ42" s="443">
        <v>29948</v>
      </c>
      <c r="FK42" s="132" t="s">
        <v>105</v>
      </c>
      <c r="FL42" s="132">
        <v>42907</v>
      </c>
      <c r="FM42" s="132"/>
      <c r="FN42" s="31"/>
      <c r="FO42" s="126"/>
      <c r="FP42" s="73">
        <v>43202</v>
      </c>
      <c r="FQ42" s="31"/>
      <c r="FR42" s="31" t="s">
        <v>568</v>
      </c>
      <c r="FS42" s="31" t="s">
        <v>295</v>
      </c>
      <c r="FT42" s="281">
        <v>43003</v>
      </c>
      <c r="FU42" s="74" t="s">
        <v>105</v>
      </c>
      <c r="FV42" s="31"/>
      <c r="FW42" s="31"/>
      <c r="FX42" s="388">
        <v>3574384</v>
      </c>
      <c r="FY42" s="652">
        <f t="shared" si="145"/>
        <v>4191559</v>
      </c>
      <c r="FZ42" s="550">
        <f t="shared" si="146"/>
        <v>4191559</v>
      </c>
      <c r="GA42" s="500">
        <f t="shared" si="160"/>
        <v>4191559</v>
      </c>
      <c r="GB42" s="610">
        <f>GM42+GN42+GR42</f>
        <v>504894</v>
      </c>
      <c r="GC42" s="28">
        <f t="shared" si="147"/>
        <v>2264.5569278312641</v>
      </c>
      <c r="GD42" s="28">
        <f t="shared" si="161"/>
        <v>174648.29166666666</v>
      </c>
      <c r="GE42" s="413">
        <v>1042673</v>
      </c>
      <c r="GF42" s="417"/>
      <c r="GG42" s="415">
        <f t="shared" si="162"/>
        <v>43444.708333333336</v>
      </c>
      <c r="GH42" s="9">
        <f>+GI42+GJ42</f>
        <v>2051712</v>
      </c>
      <c r="GI42" s="10">
        <v>255345</v>
      </c>
      <c r="GJ42" s="10">
        <v>1796367</v>
      </c>
      <c r="GK42" s="407">
        <f t="shared" si="163"/>
        <v>85488</v>
      </c>
      <c r="GL42" s="9">
        <v>327805</v>
      </c>
      <c r="GM42" s="9">
        <v>360000</v>
      </c>
      <c r="GN42" s="45">
        <v>120000</v>
      </c>
      <c r="GO42" s="23">
        <f t="shared" si="148"/>
        <v>8.5886897929863329E-2</v>
      </c>
      <c r="GP42" s="45"/>
      <c r="GQ42" s="45"/>
      <c r="GR42" s="9">
        <v>24894</v>
      </c>
      <c r="GS42" s="28">
        <f t="shared" si="188"/>
        <v>15000</v>
      </c>
      <c r="GT42" s="28">
        <f t="shared" si="189"/>
        <v>58444.708333333336</v>
      </c>
      <c r="GU42" s="680">
        <v>1244630.4489499999</v>
      </c>
      <c r="GV42" s="680">
        <v>480000</v>
      </c>
      <c r="GW42" s="680" t="e">
        <f>(#REF!+#REF!+GV42)/AD42</f>
        <v>#REF!</v>
      </c>
      <c r="GX42" s="680">
        <v>0</v>
      </c>
      <c r="GY42" s="680">
        <f t="shared" si="190"/>
        <v>78444.708333333328</v>
      </c>
      <c r="GZ42" s="681">
        <f>(GE42+GM42+GV42+GX42)/(GU42+FZ42-HA42)</f>
        <v>0.35875892924572422</v>
      </c>
      <c r="HA42" s="680">
        <v>188451.07500000001</v>
      </c>
      <c r="HB42" s="680"/>
      <c r="HC42" s="573">
        <v>384475</v>
      </c>
      <c r="HD42" s="602"/>
      <c r="HE42" s="608">
        <f t="shared" si="191"/>
        <v>0</v>
      </c>
      <c r="HF42" s="616">
        <f t="shared" si="192"/>
        <v>4191559</v>
      </c>
      <c r="HG42" s="602">
        <f t="shared" ca="1" si="193"/>
        <v>4191559</v>
      </c>
      <c r="HH42" s="602"/>
      <c r="HI42" s="602"/>
      <c r="HJ42" s="602">
        <f t="shared" si="194"/>
        <v>504894</v>
      </c>
      <c r="HK42" s="609">
        <f t="shared" si="195"/>
        <v>0</v>
      </c>
      <c r="HL42" s="609"/>
      <c r="HM42" s="673"/>
      <c r="HN42" s="62"/>
      <c r="HO42" s="673"/>
      <c r="HP42" s="673">
        <f t="shared" si="196"/>
        <v>0</v>
      </c>
      <c r="HQ42" s="539"/>
      <c r="HR42" s="539"/>
      <c r="HS42" s="539"/>
      <c r="HT42" s="539"/>
      <c r="HU42" s="539"/>
      <c r="HV42" s="673"/>
      <c r="HW42" s="673">
        <f t="shared" si="197"/>
        <v>0</v>
      </c>
      <c r="HX42" s="539"/>
    </row>
    <row r="43" spans="1:232" ht="27.75" hidden="1" customHeight="1">
      <c r="A43" s="767" t="s">
        <v>667</v>
      </c>
      <c r="B43" s="6" t="s">
        <v>195</v>
      </c>
      <c r="C43" s="6" t="s">
        <v>92</v>
      </c>
      <c r="D43" s="6">
        <v>2016</v>
      </c>
      <c r="E43" s="6" t="s">
        <v>404</v>
      </c>
      <c r="F43" s="6" t="s">
        <v>40</v>
      </c>
      <c r="G43" s="6" t="s">
        <v>606</v>
      </c>
      <c r="H43" s="6" t="s">
        <v>187</v>
      </c>
      <c r="I43" s="31"/>
      <c r="J43" s="31" t="s">
        <v>710</v>
      </c>
      <c r="K43" s="180"/>
      <c r="L43" s="111"/>
      <c r="M43" s="67"/>
      <c r="N43" s="68"/>
      <c r="O43" s="142">
        <v>807</v>
      </c>
      <c r="P43" s="142">
        <v>250272</v>
      </c>
      <c r="Q43" s="142">
        <v>250272</v>
      </c>
      <c r="R43" s="142">
        <f t="shared" si="164"/>
        <v>10881.391304347826</v>
      </c>
      <c r="S43" s="142">
        <f t="shared" si="165"/>
        <v>310.12639405204459</v>
      </c>
      <c r="T43" s="148">
        <f t="shared" si="166"/>
        <v>310.12639405204459</v>
      </c>
      <c r="U43" s="148">
        <f t="shared" si="167"/>
        <v>162.92583213441748</v>
      </c>
      <c r="V43" s="148">
        <f t="shared" si="168"/>
        <v>10881.391304347826</v>
      </c>
      <c r="W43" s="142">
        <f t="shared" si="169"/>
        <v>35.086956521739133</v>
      </c>
      <c r="X43" s="143"/>
      <c r="Y43" s="525">
        <f t="shared" si="170"/>
        <v>285.00619578686491</v>
      </c>
      <c r="Z43" s="143"/>
      <c r="AA43" s="145">
        <v>270</v>
      </c>
      <c r="AB43" s="146"/>
      <c r="AC43" s="6" t="s">
        <v>10</v>
      </c>
      <c r="AD43" s="493">
        <f t="shared" si="131"/>
        <v>23</v>
      </c>
      <c r="AE43" s="493">
        <f t="shared" si="171"/>
        <v>23</v>
      </c>
      <c r="AF43" s="7"/>
      <c r="AG43" s="6">
        <v>23</v>
      </c>
      <c r="AH43" s="42"/>
      <c r="AI43" s="42"/>
      <c r="AJ43" s="796">
        <v>1332.5</v>
      </c>
      <c r="AK43" s="278">
        <v>1536.11</v>
      </c>
      <c r="AL43" s="586">
        <f t="shared" si="133"/>
        <v>57.934782608695649</v>
      </c>
      <c r="AM43" s="8">
        <f t="shared" si="134"/>
        <v>66.787391304347821</v>
      </c>
      <c r="AN43" s="35">
        <v>6.4</v>
      </c>
      <c r="AO43" s="35">
        <v>5.55</v>
      </c>
      <c r="AP43" s="35">
        <v>370.82</v>
      </c>
      <c r="AQ43" s="53"/>
      <c r="AR43" s="53"/>
      <c r="AS43" s="53"/>
      <c r="AT43" s="53"/>
      <c r="AU43" s="53"/>
      <c r="AV43" s="8"/>
      <c r="AW43" s="51"/>
      <c r="AX43" s="53"/>
      <c r="AY43" s="35">
        <v>4</v>
      </c>
      <c r="AZ43" s="34" t="s">
        <v>398</v>
      </c>
      <c r="BA43" s="6" t="s">
        <v>98</v>
      </c>
      <c r="BB43" s="37">
        <v>2973918</v>
      </c>
      <c r="BC43" s="504">
        <f>BB43/AJ43</f>
        <v>2231.8333958724202</v>
      </c>
      <c r="BD43" s="505">
        <f>BB43/AK43</f>
        <v>1936.0058849952154</v>
      </c>
      <c r="BE43" s="392">
        <f>BB43/AD43</f>
        <v>129300.78260869565</v>
      </c>
      <c r="BF43" s="164"/>
      <c r="BG43" s="164"/>
      <c r="BH43" s="164"/>
      <c r="BI43" s="164"/>
      <c r="BJ43" s="660">
        <v>42459</v>
      </c>
      <c r="BK43" s="660">
        <v>42543</v>
      </c>
      <c r="BL43" s="661"/>
      <c r="BM43" s="659">
        <f t="shared" si="135"/>
        <v>2.8</v>
      </c>
      <c r="BN43" s="578"/>
      <c r="BO43" s="109">
        <v>42606</v>
      </c>
      <c r="BP43" s="138">
        <v>42620</v>
      </c>
      <c r="BQ43" s="654">
        <f t="shared" si="156"/>
        <v>0.46666666666666667</v>
      </c>
      <c r="BR43" s="139"/>
      <c r="BS43" s="110">
        <v>42711</v>
      </c>
      <c r="BT43" s="110">
        <v>42654</v>
      </c>
      <c r="BU43" s="202">
        <v>42736</v>
      </c>
      <c r="BV43" s="201">
        <f t="shared" si="172"/>
        <v>43466</v>
      </c>
      <c r="BW43" s="439">
        <f>41656+6870</f>
        <v>48526</v>
      </c>
      <c r="BX43" s="201" t="str">
        <f t="shared" si="173"/>
        <v>non</v>
      </c>
      <c r="BY43" s="439">
        <f t="shared" si="174"/>
        <v>7.4666666666666668</v>
      </c>
      <c r="BZ43" s="439">
        <f t="shared" si="175"/>
        <v>70105.489161526566</v>
      </c>
      <c r="CA43" s="439">
        <f t="shared" si="176"/>
        <v>-21579.489161526566</v>
      </c>
      <c r="CB43" s="81"/>
      <c r="CC43" s="81"/>
      <c r="CD43" s="81"/>
      <c r="CE43" s="326" t="str">
        <f t="shared" si="136"/>
        <v>0</v>
      </c>
      <c r="CF43" s="81">
        <v>42041</v>
      </c>
      <c r="CG43" s="81">
        <v>42041</v>
      </c>
      <c r="CH43" s="326">
        <f t="shared" si="137"/>
        <v>0</v>
      </c>
      <c r="CI43" s="81"/>
      <c r="CJ43" s="81"/>
      <c r="CK43" s="326" t="str">
        <f t="shared" si="138"/>
        <v>0</v>
      </c>
      <c r="CL43" s="81"/>
      <c r="CM43" s="81"/>
      <c r="CN43" s="326" t="str">
        <f t="shared" si="139"/>
        <v>0</v>
      </c>
      <c r="CO43" s="81"/>
      <c r="CP43" s="81"/>
      <c r="CQ43" s="326" t="str">
        <f t="shared" si="140"/>
        <v>0</v>
      </c>
      <c r="CR43" s="570"/>
      <c r="CS43" s="214"/>
      <c r="CT43" s="214"/>
      <c r="CU43" s="159"/>
      <c r="CV43" s="347" t="str">
        <f t="shared" si="157"/>
        <v>0</v>
      </c>
      <c r="CW43" s="214">
        <v>42741</v>
      </c>
      <c r="CX43" s="282">
        <v>42583</v>
      </c>
      <c r="CY43" s="571">
        <v>2016</v>
      </c>
      <c r="CZ43" s="527">
        <f t="shared" si="141"/>
        <v>1.3333333333333333</v>
      </c>
      <c r="DA43" s="347">
        <f t="shared" si="177"/>
        <v>-158</v>
      </c>
      <c r="DB43" s="170">
        <v>18</v>
      </c>
      <c r="DC43" s="76">
        <f t="shared" si="178"/>
        <v>20</v>
      </c>
      <c r="DD43" s="279"/>
      <c r="DE43" s="81"/>
      <c r="DF43" s="347" t="str">
        <f t="shared" si="179"/>
        <v>0</v>
      </c>
      <c r="DG43" s="214">
        <v>42712</v>
      </c>
      <c r="DH43" s="363">
        <v>42712</v>
      </c>
      <c r="DI43" s="364">
        <f t="shared" si="180"/>
        <v>0</v>
      </c>
      <c r="DJ43" s="81"/>
      <c r="DK43" s="81">
        <v>42994</v>
      </c>
      <c r="DL43" s="326" t="str">
        <f t="shared" si="181"/>
        <v>0</v>
      </c>
      <c r="DM43" s="81"/>
      <c r="DN43" s="81">
        <v>43024</v>
      </c>
      <c r="DO43" s="326" t="str">
        <f t="shared" si="182"/>
        <v>0</v>
      </c>
      <c r="DP43" s="81">
        <v>42946</v>
      </c>
      <c r="DQ43" s="81">
        <v>43053</v>
      </c>
      <c r="DR43" s="326">
        <f t="shared" si="183"/>
        <v>107</v>
      </c>
      <c r="DS43" s="81">
        <v>42977</v>
      </c>
      <c r="DT43" s="81">
        <v>43053</v>
      </c>
      <c r="DU43" s="326">
        <f t="shared" si="184"/>
        <v>76</v>
      </c>
      <c r="DV43" s="81">
        <v>43189</v>
      </c>
      <c r="DW43" s="81">
        <f ca="1">IF(DV43&lt;TODAY(),TODAY(),DV43)</f>
        <v>43950</v>
      </c>
      <c r="DX43" s="326">
        <f t="shared" ca="1" si="185"/>
        <v>761</v>
      </c>
      <c r="DY43" s="81">
        <v>43203</v>
      </c>
      <c r="DZ43" s="81">
        <v>43203</v>
      </c>
      <c r="EA43" s="81">
        <v>43203</v>
      </c>
      <c r="EB43" s="383">
        <f t="shared" si="186"/>
        <v>43132</v>
      </c>
      <c r="EC43" s="379">
        <v>43210</v>
      </c>
      <c r="ED43" s="468">
        <f t="shared" si="142"/>
        <v>2.6</v>
      </c>
      <c r="EE43" s="620">
        <f ca="1">IF(((EC43-TODAY())/30)&lt;0,0,(EC43-TODAY())/30)</f>
        <v>0</v>
      </c>
      <c r="EF43" s="293"/>
      <c r="EG43" s="167">
        <v>43210</v>
      </c>
      <c r="EH43" s="215">
        <v>43024</v>
      </c>
      <c r="EI43" s="75" t="s">
        <v>105</v>
      </c>
      <c r="EJ43" s="293"/>
      <c r="EK43" s="533">
        <f t="shared" si="198"/>
        <v>43160</v>
      </c>
      <c r="EL43" s="282">
        <v>43242</v>
      </c>
      <c r="EM43" s="283">
        <v>2018</v>
      </c>
      <c r="EN43" s="466">
        <f t="shared" si="187"/>
        <v>2.7333333333333334</v>
      </c>
      <c r="EO43" s="456">
        <v>9389.1280127044502</v>
      </c>
      <c r="EP43" s="813">
        <f t="shared" si="158"/>
        <v>25663.616568058831</v>
      </c>
      <c r="EQ43" s="214">
        <v>43181</v>
      </c>
      <c r="ER43" s="353">
        <v>0</v>
      </c>
      <c r="ES43" s="353">
        <v>0</v>
      </c>
      <c r="ET43" s="353">
        <v>0</v>
      </c>
      <c r="EU43" s="353"/>
      <c r="EV43" s="353">
        <v>0</v>
      </c>
      <c r="EW43" s="483">
        <f t="shared" si="159"/>
        <v>0</v>
      </c>
      <c r="EX43" s="350" t="s">
        <v>514</v>
      </c>
      <c r="EY43" s="422"/>
      <c r="EZ43" s="422"/>
      <c r="FA43" s="423"/>
      <c r="FB43" s="126">
        <f t="shared" si="143"/>
        <v>43442</v>
      </c>
      <c r="FC43" s="81" t="s">
        <v>105</v>
      </c>
      <c r="FD43" s="81" t="s">
        <v>105</v>
      </c>
      <c r="FE43" s="81" t="s">
        <v>105</v>
      </c>
      <c r="FF43" s="81" t="s">
        <v>105</v>
      </c>
      <c r="FG43" s="81">
        <v>43334</v>
      </c>
      <c r="FH43" s="74" t="s">
        <v>105</v>
      </c>
      <c r="FI43" s="214">
        <f>DATE(YEAR(EC43)+1,MONTH(EC43),DAY(EC43))</f>
        <v>43575</v>
      </c>
      <c r="FJ43" s="447"/>
      <c r="FK43" s="31"/>
      <c r="FL43" s="31" t="s">
        <v>105</v>
      </c>
      <c r="FM43" s="31"/>
      <c r="FN43" s="31"/>
      <c r="FO43" s="31"/>
      <c r="FP43" s="31"/>
      <c r="FQ43" s="31"/>
      <c r="FR43" s="125" t="s">
        <v>688</v>
      </c>
      <c r="FS43" s="31"/>
      <c r="FT43" s="73">
        <v>43315</v>
      </c>
      <c r="FU43" s="31"/>
      <c r="FV43" s="161">
        <v>43671</v>
      </c>
      <c r="FW43" s="31"/>
      <c r="FX43" s="529"/>
      <c r="FY43" s="652">
        <f t="shared" si="145"/>
        <v>3202767</v>
      </c>
      <c r="FZ43" s="550">
        <f t="shared" si="146"/>
        <v>3202767</v>
      </c>
      <c r="GA43" s="500">
        <f t="shared" si="160"/>
        <v>3202767</v>
      </c>
      <c r="GB43" s="610">
        <f>GM43+GN43+GR43</f>
        <v>529000</v>
      </c>
      <c r="GC43" s="28">
        <f t="shared" si="147"/>
        <v>2084.9854502607236</v>
      </c>
      <c r="GD43" s="28">
        <f t="shared" si="161"/>
        <v>139250.73913043478</v>
      </c>
      <c r="GE43" s="413">
        <v>901691</v>
      </c>
      <c r="GF43" s="561"/>
      <c r="GG43" s="415">
        <f t="shared" si="162"/>
        <v>39203.956521739128</v>
      </c>
      <c r="GH43" s="9">
        <f>GI43+GJ43</f>
        <v>1772076</v>
      </c>
      <c r="GI43" s="10">
        <v>296327</v>
      </c>
      <c r="GJ43" s="10">
        <v>1475749</v>
      </c>
      <c r="GK43" s="407">
        <f t="shared" si="163"/>
        <v>77046.782608695648</v>
      </c>
      <c r="GL43" s="9"/>
      <c r="GM43" s="9">
        <v>529000</v>
      </c>
      <c r="GN43" s="45"/>
      <c r="GO43" s="23">
        <f t="shared" si="148"/>
        <v>0.16516967984246123</v>
      </c>
      <c r="GP43" s="60"/>
      <c r="GQ43" s="60"/>
      <c r="GR43" s="9"/>
      <c r="GS43" s="28">
        <f t="shared" si="188"/>
        <v>23000</v>
      </c>
      <c r="GT43" s="28">
        <f t="shared" si="189"/>
        <v>62203.956521739128</v>
      </c>
      <c r="GU43" s="680"/>
      <c r="GV43" s="680"/>
      <c r="GW43" s="680" t="e">
        <f>(#REF!+#REF!+GV43)/AD43</f>
        <v>#REF!</v>
      </c>
      <c r="GX43" s="680"/>
      <c r="GY43" s="680">
        <f t="shared" si="190"/>
        <v>62203.956521739128</v>
      </c>
      <c r="GZ43" s="681" t="e">
        <f>(#REF!+#REF!+GV43+GX43)/(GU43+#REF!-HA43)</f>
        <v>#REF!</v>
      </c>
      <c r="HA43" s="680"/>
      <c r="HB43" s="680"/>
      <c r="HC43" s="9"/>
      <c r="HD43" s="610">
        <v>3202766.9997900003</v>
      </c>
      <c r="HE43" s="608">
        <f t="shared" si="191"/>
        <v>0.99999999993443178</v>
      </c>
      <c r="HF43" s="616">
        <f t="shared" si="192"/>
        <v>2.0999973639845848E-4</v>
      </c>
      <c r="HG43" s="602">
        <f t="shared" ca="1" si="193"/>
        <v>2.0999973639845848E-4</v>
      </c>
      <c r="HH43" s="608">
        <f ca="1">(HG43+HD43)/FZ43</f>
        <v>1</v>
      </c>
      <c r="HI43" s="602">
        <f>'[1]GLOBAL OPERATION'!$AG$44</f>
        <v>2949865</v>
      </c>
      <c r="HJ43" s="602">
        <f t="shared" si="194"/>
        <v>-2420865</v>
      </c>
      <c r="HK43" s="608">
        <f t="shared" si="195"/>
        <v>5.5763043478260865</v>
      </c>
      <c r="HL43" s="608"/>
      <c r="HM43" s="673"/>
      <c r="HN43" s="62"/>
      <c r="HO43" s="673"/>
      <c r="HP43" s="673">
        <f t="shared" si="196"/>
        <v>0</v>
      </c>
      <c r="HQ43" s="539"/>
      <c r="HR43" s="539"/>
      <c r="HS43" s="539"/>
      <c r="HT43" s="539"/>
      <c r="HU43" s="539"/>
      <c r="HV43" s="673"/>
      <c r="HW43" s="673">
        <f t="shared" si="197"/>
        <v>0</v>
      </c>
      <c r="HX43" s="539"/>
    </row>
    <row r="44" spans="1:232" ht="81" hidden="1" customHeight="1">
      <c r="A44" s="767" t="s">
        <v>884</v>
      </c>
      <c r="B44" s="6" t="s">
        <v>25</v>
      </c>
      <c r="C44" s="6" t="s">
        <v>92</v>
      </c>
      <c r="D44" s="6">
        <v>2012</v>
      </c>
      <c r="E44" s="6" t="s">
        <v>60</v>
      </c>
      <c r="F44" s="6" t="s">
        <v>16</v>
      </c>
      <c r="G44" s="490"/>
      <c r="H44" s="6" t="s">
        <v>187</v>
      </c>
      <c r="I44" s="31" t="s">
        <v>98</v>
      </c>
      <c r="J44" s="31"/>
      <c r="K44" s="180"/>
      <c r="L44" s="108"/>
      <c r="M44" s="108"/>
      <c r="N44" s="108"/>
      <c r="O44" s="142">
        <v>2671</v>
      </c>
      <c r="P44" s="142">
        <v>176000</v>
      </c>
      <c r="Q44" s="142">
        <v>110833</v>
      </c>
      <c r="R44" s="142">
        <f t="shared" si="164"/>
        <v>12571.428571428571</v>
      </c>
      <c r="S44" s="142">
        <f t="shared" si="165"/>
        <v>65.89292399850244</v>
      </c>
      <c r="T44" s="142">
        <f t="shared" si="166"/>
        <v>41.494945713216026</v>
      </c>
      <c r="U44" s="142">
        <f t="shared" si="167"/>
        <v>100.10205924855489</v>
      </c>
      <c r="V44" s="142">
        <f t="shared" si="168"/>
        <v>7916.6428571428569</v>
      </c>
      <c r="W44" s="142">
        <f t="shared" si="169"/>
        <v>190.78571428571428</v>
      </c>
      <c r="X44" s="143">
        <v>748.11</v>
      </c>
      <c r="Y44" s="522">
        <f t="shared" si="170"/>
        <v>52.414825907899662</v>
      </c>
      <c r="Z44" s="143" t="s">
        <v>163</v>
      </c>
      <c r="AA44" s="145"/>
      <c r="AB44" s="145"/>
      <c r="AC44" s="6" t="s">
        <v>10</v>
      </c>
      <c r="AD44" s="493">
        <f t="shared" si="131"/>
        <v>14</v>
      </c>
      <c r="AE44" s="493">
        <f t="shared" si="171"/>
        <v>14</v>
      </c>
      <c r="AF44" s="7"/>
      <c r="AG44" s="6">
        <v>14</v>
      </c>
      <c r="AH44" s="42"/>
      <c r="AI44" s="42"/>
      <c r="AJ44" s="35">
        <v>931.1</v>
      </c>
      <c r="AK44" s="278">
        <v>1107.2000000000003</v>
      </c>
      <c r="AL44" s="586">
        <f t="shared" si="133"/>
        <v>66.507142857142853</v>
      </c>
      <c r="AM44" s="8">
        <f t="shared" si="134"/>
        <v>79.085714285714303</v>
      </c>
      <c r="AN44" s="35">
        <v>6.0229784813661276</v>
      </c>
      <c r="AO44" s="35">
        <v>5.0650246242774566</v>
      </c>
      <c r="AP44" s="35">
        <v>400.57109028571438</v>
      </c>
      <c r="AQ44" s="53">
        <f>3/AD44</f>
        <v>0.21428571428571427</v>
      </c>
      <c r="AR44" s="53">
        <f>3/AD44</f>
        <v>0.21428571428571427</v>
      </c>
      <c r="AS44" s="53">
        <f>6/AD44</f>
        <v>0.42857142857142855</v>
      </c>
      <c r="AT44" s="53">
        <f>1/AD44</f>
        <v>7.1428571428571425E-2</v>
      </c>
      <c r="AU44" s="53">
        <f>1/AD44</f>
        <v>7.1428571428571425E-2</v>
      </c>
      <c r="AV44" s="8">
        <v>1000</v>
      </c>
      <c r="AW44" s="51"/>
      <c r="AX44" s="53">
        <f>AW44/O44</f>
        <v>0</v>
      </c>
      <c r="AY44" s="35">
        <v>3</v>
      </c>
      <c r="AZ44" s="34" t="s">
        <v>398</v>
      </c>
      <c r="BA44" s="8" t="s">
        <v>99</v>
      </c>
      <c r="BB44" s="35"/>
      <c r="BC44" s="35"/>
      <c r="BD44" s="35"/>
      <c r="BE44" s="35"/>
      <c r="BF44" s="126"/>
      <c r="BG44" s="126"/>
      <c r="BH44" s="126">
        <v>40963</v>
      </c>
      <c r="BI44" s="126"/>
      <c r="BJ44" s="660">
        <v>40998</v>
      </c>
      <c r="BK44" s="660">
        <v>41170</v>
      </c>
      <c r="BL44" s="661"/>
      <c r="BM44" s="659">
        <f t="shared" si="135"/>
        <v>5.7333333333333334</v>
      </c>
      <c r="BN44" s="578"/>
      <c r="BO44" s="546"/>
      <c r="BP44" s="558"/>
      <c r="BQ44" s="634"/>
      <c r="BR44" s="634"/>
      <c r="BS44" s="110"/>
      <c r="BT44" s="65"/>
      <c r="BU44" s="201">
        <v>41365</v>
      </c>
      <c r="BV44" s="201">
        <f t="shared" si="172"/>
        <v>42095</v>
      </c>
      <c r="BW44" s="439"/>
      <c r="BX44" s="201" t="str">
        <f t="shared" si="173"/>
        <v>non</v>
      </c>
      <c r="BY44" s="557">
        <f t="shared" si="174"/>
        <v>4.9333333333333336</v>
      </c>
      <c r="BZ44" s="439">
        <f t="shared" si="175"/>
        <v>28502.318142881708</v>
      </c>
      <c r="CA44" s="439">
        <f t="shared" si="176"/>
        <v>-28502.318142881708</v>
      </c>
      <c r="CB44" s="81"/>
      <c r="CC44" s="74"/>
      <c r="CD44" s="74"/>
      <c r="CE44" s="326" t="str">
        <f t="shared" si="136"/>
        <v>0</v>
      </c>
      <c r="CF44" s="81"/>
      <c r="CG44" s="81"/>
      <c r="CH44" s="326" t="str">
        <f t="shared" si="137"/>
        <v>0</v>
      </c>
      <c r="CI44" s="83"/>
      <c r="CJ44" s="81"/>
      <c r="CK44" s="326" t="str">
        <f t="shared" si="138"/>
        <v>0</v>
      </c>
      <c r="CL44" s="83"/>
      <c r="CM44" s="81"/>
      <c r="CN44" s="326" t="str">
        <f t="shared" si="139"/>
        <v>0</v>
      </c>
      <c r="CO44" s="83"/>
      <c r="CP44" s="365"/>
      <c r="CQ44" s="326" t="str">
        <f t="shared" si="140"/>
        <v>0</v>
      </c>
      <c r="CR44" s="292"/>
      <c r="CS44" s="159"/>
      <c r="CT44" s="81"/>
      <c r="CU44" s="159"/>
      <c r="CV44" s="326" t="str">
        <f t="shared" si="157"/>
        <v>0</v>
      </c>
      <c r="CW44" s="81"/>
      <c r="CX44" s="238">
        <v>41309</v>
      </c>
      <c r="CY44" s="230">
        <v>2013</v>
      </c>
      <c r="CZ44" s="285">
        <f t="shared" si="141"/>
        <v>4.6333333333333337</v>
      </c>
      <c r="DA44" s="326" t="str">
        <f t="shared" si="177"/>
        <v>0</v>
      </c>
      <c r="DB44" s="76">
        <v>13</v>
      </c>
      <c r="DC44" s="76">
        <f t="shared" si="178"/>
        <v>20</v>
      </c>
      <c r="DD44" s="214"/>
      <c r="DE44" s="213"/>
      <c r="DF44" s="448" t="str">
        <f t="shared" si="179"/>
        <v>0</v>
      </c>
      <c r="DG44" s="214"/>
      <c r="DH44" s="395"/>
      <c r="DI44" s="396" t="str">
        <f t="shared" si="180"/>
        <v>0</v>
      </c>
      <c r="DJ44" s="179"/>
      <c r="DK44" s="214"/>
      <c r="DL44" s="448" t="str">
        <f t="shared" si="181"/>
        <v>0</v>
      </c>
      <c r="DM44" s="213"/>
      <c r="DN44" s="214"/>
      <c r="DO44" s="448" t="str">
        <f t="shared" si="182"/>
        <v>0</v>
      </c>
      <c r="DP44" s="219"/>
      <c r="DQ44" s="219"/>
      <c r="DR44" s="448" t="str">
        <f t="shared" si="183"/>
        <v>0</v>
      </c>
      <c r="DS44" s="219"/>
      <c r="DT44" s="220"/>
      <c r="DU44" s="448" t="str">
        <f t="shared" si="184"/>
        <v>0</v>
      </c>
      <c r="DV44" s="220"/>
      <c r="DW44" s="220"/>
      <c r="DX44" s="448" t="str">
        <f t="shared" si="185"/>
        <v>0</v>
      </c>
      <c r="DY44" s="220"/>
      <c r="DZ44" s="220"/>
      <c r="EA44" s="220"/>
      <c r="EB44" s="293">
        <f t="shared" si="186"/>
        <v>41702</v>
      </c>
      <c r="EC44" s="238">
        <v>41943</v>
      </c>
      <c r="ED44" s="468">
        <f t="shared" si="142"/>
        <v>8.0333333333333332</v>
      </c>
      <c r="EE44" s="620"/>
      <c r="EF44" s="293"/>
      <c r="EG44" s="75">
        <v>41983</v>
      </c>
      <c r="EH44" s="75" t="s">
        <v>105</v>
      </c>
      <c r="EI44" s="75">
        <v>41949</v>
      </c>
      <c r="EJ44" s="293"/>
      <c r="EK44" s="533">
        <f t="shared" si="198"/>
        <v>41733</v>
      </c>
      <c r="EL44" s="238">
        <v>41947</v>
      </c>
      <c r="EM44" s="380">
        <v>2014</v>
      </c>
      <c r="EN44" s="465">
        <f t="shared" si="187"/>
        <v>7.1333333333333337</v>
      </c>
      <c r="EO44" s="455">
        <f>69329.9630502528/12</f>
        <v>5777.4969208543998</v>
      </c>
      <c r="EP44" s="159">
        <f t="shared" si="158"/>
        <v>41212.811368761388</v>
      </c>
      <c r="EQ44" s="75"/>
      <c r="ER44" s="349"/>
      <c r="ES44" s="454">
        <f>HC44</f>
        <v>123760</v>
      </c>
      <c r="ET44" s="353"/>
      <c r="EU44" s="353"/>
      <c r="EV44" s="353"/>
      <c r="EW44" s="483">
        <f t="shared" si="159"/>
        <v>0</v>
      </c>
      <c r="EX44" s="350"/>
      <c r="EY44" s="362" t="s">
        <v>520</v>
      </c>
      <c r="EZ44" s="350"/>
      <c r="FA44" s="350"/>
      <c r="FB44" s="126">
        <f t="shared" si="143"/>
        <v>731</v>
      </c>
      <c r="FC44" s="81"/>
      <c r="FD44" s="81"/>
      <c r="FE44" s="81"/>
      <c r="FF44" s="81"/>
      <c r="FG44" s="81" t="s">
        <v>105</v>
      </c>
      <c r="FH44" s="73">
        <v>43801</v>
      </c>
      <c r="FI44" s="214">
        <f>DATE(YEAR(EC44)+1,MONTH(EC44),DAY(EC44))</f>
        <v>42308</v>
      </c>
      <c r="FJ44" s="442">
        <v>19707.689999999999</v>
      </c>
      <c r="FK44" s="132">
        <v>41969</v>
      </c>
      <c r="FL44" s="132">
        <v>41984</v>
      </c>
      <c r="FM44" s="132"/>
      <c r="FN44" s="132">
        <v>42324</v>
      </c>
      <c r="FO44" s="132">
        <v>42324</v>
      </c>
      <c r="FP44" s="132"/>
      <c r="FQ44" s="81" t="s">
        <v>133</v>
      </c>
      <c r="FR44" s="132">
        <v>42906</v>
      </c>
      <c r="FS44" s="132"/>
      <c r="FT44" s="132" t="s">
        <v>105</v>
      </c>
      <c r="FU44" s="80"/>
      <c r="FV44" s="132">
        <v>42426</v>
      </c>
      <c r="FW44" s="80"/>
      <c r="FX44" s="530"/>
      <c r="FY44" s="652">
        <f t="shared" si="145"/>
        <v>2298881</v>
      </c>
      <c r="FZ44" s="550">
        <f t="shared" si="146"/>
        <v>2298881</v>
      </c>
      <c r="GA44" s="500">
        <f t="shared" si="160"/>
        <v>2298881</v>
      </c>
      <c r="GB44" s="610">
        <f>GM44+GN44+GR44</f>
        <v>159905</v>
      </c>
      <c r="GC44" s="28">
        <f t="shared" si="147"/>
        <v>2076.3014812138722</v>
      </c>
      <c r="GD44" s="28">
        <f t="shared" si="161"/>
        <v>164205.78571428571</v>
      </c>
      <c r="GE44" s="413">
        <v>745095</v>
      </c>
      <c r="GF44" s="417"/>
      <c r="GG44" s="415">
        <f t="shared" si="162"/>
        <v>53221.071428571428</v>
      </c>
      <c r="GH44" s="9">
        <f>+GI44+GJ44</f>
        <v>1240121</v>
      </c>
      <c r="GI44" s="10">
        <v>347814</v>
      </c>
      <c r="GJ44" s="10">
        <v>892307</v>
      </c>
      <c r="GK44" s="407">
        <f t="shared" si="163"/>
        <v>88580.071428571435</v>
      </c>
      <c r="GL44" s="9">
        <v>100000</v>
      </c>
      <c r="GM44" s="12">
        <v>89905</v>
      </c>
      <c r="GN44" s="44">
        <v>70000</v>
      </c>
      <c r="GO44" s="23">
        <f t="shared" si="148"/>
        <v>3.9108157403536764E-2</v>
      </c>
      <c r="GP44" s="60"/>
      <c r="GQ44" s="60"/>
      <c r="GR44" s="12">
        <v>0</v>
      </c>
      <c r="GS44" s="28">
        <f t="shared" si="188"/>
        <v>6421.7857142857147</v>
      </c>
      <c r="GT44" s="28">
        <f t="shared" si="189"/>
        <v>59642.857142857145</v>
      </c>
      <c r="GU44" s="680">
        <v>339632.49384750001</v>
      </c>
      <c r="GV44" s="680">
        <v>210000</v>
      </c>
      <c r="GW44" s="680">
        <f>(GE44+GM44+GV44)/AD44</f>
        <v>74642.857142857145</v>
      </c>
      <c r="GX44" s="680">
        <v>0</v>
      </c>
      <c r="GY44" s="680">
        <f t="shared" si="190"/>
        <v>74642.857142857145</v>
      </c>
      <c r="GZ44" s="681">
        <f>(GE44+GM44+GV44+GX44)/(GU44+FZ44-HA44)</f>
        <v>0.41472798358403962</v>
      </c>
      <c r="HA44" s="680">
        <v>118789.62334999999</v>
      </c>
      <c r="HB44" s="680"/>
      <c r="HC44" s="9">
        <v>123760</v>
      </c>
      <c r="HD44" s="602"/>
      <c r="HE44" s="608">
        <f t="shared" si="191"/>
        <v>0</v>
      </c>
      <c r="HF44" s="616">
        <f t="shared" si="192"/>
        <v>2298881</v>
      </c>
      <c r="HG44" s="602">
        <f t="shared" ca="1" si="193"/>
        <v>2298881</v>
      </c>
      <c r="HH44" s="602"/>
      <c r="HI44" s="602"/>
      <c r="HJ44" s="602">
        <f t="shared" si="194"/>
        <v>159905</v>
      </c>
      <c r="HK44" s="609">
        <f t="shared" si="195"/>
        <v>0</v>
      </c>
      <c r="HL44" s="609"/>
      <c r="HM44" s="673"/>
      <c r="HN44" s="62"/>
      <c r="HO44" s="673"/>
      <c r="HP44" s="673">
        <f t="shared" si="196"/>
        <v>0</v>
      </c>
      <c r="HQ44" s="539"/>
      <c r="HR44" s="539"/>
      <c r="HS44" s="539"/>
      <c r="HT44" s="539"/>
      <c r="HU44" s="539"/>
      <c r="HV44" s="673"/>
      <c r="HW44" s="673">
        <f t="shared" si="197"/>
        <v>0</v>
      </c>
      <c r="HX44" s="539"/>
    </row>
    <row r="45" spans="1:232" ht="32.25" hidden="1" customHeight="1">
      <c r="A45" s="810" t="s">
        <v>181</v>
      </c>
      <c r="B45" s="6" t="s">
        <v>21</v>
      </c>
      <c r="C45" s="6" t="s">
        <v>90</v>
      </c>
      <c r="D45" s="6">
        <v>2014</v>
      </c>
      <c r="E45" s="6" t="s">
        <v>239</v>
      </c>
      <c r="F45" s="6" t="s">
        <v>40</v>
      </c>
      <c r="G45" s="6" t="s">
        <v>605</v>
      </c>
      <c r="H45" s="6" t="s">
        <v>187</v>
      </c>
      <c r="I45" s="31"/>
      <c r="J45" s="31"/>
      <c r="K45" s="180"/>
      <c r="L45" s="111"/>
      <c r="M45" s="67"/>
      <c r="N45" s="68"/>
      <c r="O45" s="148">
        <v>3512</v>
      </c>
      <c r="P45" s="148">
        <f>Q45</f>
        <v>977347</v>
      </c>
      <c r="Q45" s="148">
        <v>977347</v>
      </c>
      <c r="R45" s="142">
        <f t="shared" si="164"/>
        <v>19546.939999999999</v>
      </c>
      <c r="S45" s="148">
        <f t="shared" si="165"/>
        <v>278.28787015945329</v>
      </c>
      <c r="T45" s="148">
        <f t="shared" si="166"/>
        <v>278.28787015945329</v>
      </c>
      <c r="U45" s="148">
        <f t="shared" si="167"/>
        <v>217.55371245915362</v>
      </c>
      <c r="V45" s="148">
        <f t="shared" si="168"/>
        <v>19546.939999999999</v>
      </c>
      <c r="W45" s="142">
        <f t="shared" si="169"/>
        <v>70.239999999999995</v>
      </c>
      <c r="X45" s="151"/>
      <c r="Y45" s="523">
        <f t="shared" si="170"/>
        <v>142.36902050113895</v>
      </c>
      <c r="Z45" s="151" t="s">
        <v>153</v>
      </c>
      <c r="AA45" s="145"/>
      <c r="AB45" s="146"/>
      <c r="AC45" s="6" t="s">
        <v>10</v>
      </c>
      <c r="AD45" s="493">
        <f t="shared" si="131"/>
        <v>50</v>
      </c>
      <c r="AE45" s="493">
        <f t="shared" si="171"/>
        <v>50</v>
      </c>
      <c r="AF45" s="7"/>
      <c r="AG45" s="6">
        <v>50</v>
      </c>
      <c r="AH45" s="42"/>
      <c r="AI45" s="42"/>
      <c r="AJ45" s="796">
        <v>3918.4</v>
      </c>
      <c r="AK45" s="278">
        <v>4492.4399999999996</v>
      </c>
      <c r="AL45" s="586">
        <f t="shared" si="133"/>
        <v>78.367999999999995</v>
      </c>
      <c r="AM45" s="8">
        <f t="shared" si="134"/>
        <v>89.848799999999997</v>
      </c>
      <c r="AN45" s="35">
        <v>5.81</v>
      </c>
      <c r="AO45" s="35">
        <v>5.0599999999999996</v>
      </c>
      <c r="AP45" s="35">
        <v>454.97</v>
      </c>
      <c r="AQ45" s="37"/>
      <c r="AR45" s="37"/>
      <c r="AS45" s="37"/>
      <c r="AT45" s="37"/>
      <c r="AU45" s="37"/>
      <c r="AV45" s="8"/>
      <c r="AW45" s="51">
        <v>0</v>
      </c>
      <c r="AX45" s="53">
        <f>AW45/O45</f>
        <v>0</v>
      </c>
      <c r="AY45" s="35">
        <v>4</v>
      </c>
      <c r="AZ45" s="34" t="s">
        <v>398</v>
      </c>
      <c r="BA45" s="6" t="s">
        <v>98</v>
      </c>
      <c r="BB45" s="37">
        <v>8177215</v>
      </c>
      <c r="BC45" s="504">
        <f>BB45/AJ45</f>
        <v>2086.8760208248264</v>
      </c>
      <c r="BD45" s="505">
        <f>BB45/AK45</f>
        <v>1820.2168532022688</v>
      </c>
      <c r="BE45" s="392">
        <f>BB45/AD45</f>
        <v>163544.29999999999</v>
      </c>
      <c r="BF45" s="215">
        <v>41591</v>
      </c>
      <c r="BG45" s="215"/>
      <c r="BH45" s="74"/>
      <c r="BI45" s="74"/>
      <c r="BJ45" s="660">
        <v>41728</v>
      </c>
      <c r="BK45" s="660">
        <v>41848</v>
      </c>
      <c r="BL45" s="661"/>
      <c r="BM45" s="659">
        <f t="shared" si="135"/>
        <v>4</v>
      </c>
      <c r="BN45" s="578"/>
      <c r="BO45" s="109">
        <v>42228</v>
      </c>
      <c r="BP45" s="138">
        <v>42250</v>
      </c>
      <c r="BQ45" s="654">
        <f>(DATEDIF(BO45,BP45,"d"))/30</f>
        <v>0.73333333333333328</v>
      </c>
      <c r="BR45" s="139"/>
      <c r="BS45" s="110">
        <v>42328</v>
      </c>
      <c r="BT45" s="110">
        <v>42264</v>
      </c>
      <c r="BU45" s="202">
        <v>42339</v>
      </c>
      <c r="BV45" s="201">
        <f t="shared" si="172"/>
        <v>43070</v>
      </c>
      <c r="BW45" s="439"/>
      <c r="BX45" s="201" t="str">
        <f t="shared" si="173"/>
        <v>oui</v>
      </c>
      <c r="BY45" s="557">
        <f t="shared" si="174"/>
        <v>-4.5666666666666664</v>
      </c>
      <c r="BZ45" s="439" t="str">
        <f t="shared" si="175"/>
        <v>0</v>
      </c>
      <c r="CA45" s="439">
        <f t="shared" si="176"/>
        <v>0</v>
      </c>
      <c r="CB45" s="81"/>
      <c r="CC45" s="81"/>
      <c r="CD45" s="81"/>
      <c r="CE45" s="326" t="str">
        <f t="shared" si="136"/>
        <v>0</v>
      </c>
      <c r="CF45" s="81">
        <v>41676</v>
      </c>
      <c r="CG45" s="81">
        <v>40946</v>
      </c>
      <c r="CH45" s="326">
        <f t="shared" si="137"/>
        <v>-730</v>
      </c>
      <c r="CI45" s="81"/>
      <c r="CJ45" s="81"/>
      <c r="CK45" s="326" t="str">
        <f t="shared" si="138"/>
        <v>0</v>
      </c>
      <c r="CL45" s="81"/>
      <c r="CM45" s="81"/>
      <c r="CN45" s="326" t="str">
        <f t="shared" si="139"/>
        <v>0</v>
      </c>
      <c r="CO45" s="81"/>
      <c r="CP45" s="81"/>
      <c r="CQ45" s="326" t="str">
        <f t="shared" si="140"/>
        <v>0</v>
      </c>
      <c r="CR45" s="53"/>
      <c r="CS45" s="81"/>
      <c r="CT45" s="81"/>
      <c r="CU45" s="81"/>
      <c r="CV45" s="326" t="str">
        <f t="shared" si="157"/>
        <v>0</v>
      </c>
      <c r="CW45" s="81">
        <v>42349</v>
      </c>
      <c r="CX45" s="238">
        <v>42348</v>
      </c>
      <c r="CY45" s="232">
        <v>2015</v>
      </c>
      <c r="CZ45" s="286">
        <f t="shared" si="141"/>
        <v>16.666666666666668</v>
      </c>
      <c r="DA45" s="326">
        <f t="shared" si="177"/>
        <v>-1</v>
      </c>
      <c r="DB45" s="170">
        <v>24</v>
      </c>
      <c r="DC45" s="76">
        <f t="shared" si="178"/>
        <v>27</v>
      </c>
      <c r="DD45" s="81"/>
      <c r="DE45" s="81"/>
      <c r="DF45" s="326" t="str">
        <f t="shared" si="179"/>
        <v>0</v>
      </c>
      <c r="DG45" s="328"/>
      <c r="DH45" s="327">
        <v>42606</v>
      </c>
      <c r="DI45" s="329" t="str">
        <f t="shared" si="180"/>
        <v>0</v>
      </c>
      <c r="DJ45" s="328"/>
      <c r="DK45" s="811"/>
      <c r="DL45" s="326" t="str">
        <f t="shared" si="181"/>
        <v>0</v>
      </c>
      <c r="DM45" s="81"/>
      <c r="DN45" s="81">
        <v>42929</v>
      </c>
      <c r="DO45" s="326" t="str">
        <f t="shared" si="182"/>
        <v>0</v>
      </c>
      <c r="DP45" s="81"/>
      <c r="DQ45" s="81">
        <v>43034</v>
      </c>
      <c r="DR45" s="326" t="str">
        <f t="shared" si="183"/>
        <v>0</v>
      </c>
      <c r="DS45" s="81"/>
      <c r="DT45" s="81"/>
      <c r="DU45" s="326" t="str">
        <f t="shared" si="184"/>
        <v>0</v>
      </c>
      <c r="DV45" s="81"/>
      <c r="DW45" s="81">
        <v>43052</v>
      </c>
      <c r="DX45" s="326" t="str">
        <f t="shared" si="185"/>
        <v>0</v>
      </c>
      <c r="DY45" s="81"/>
      <c r="DZ45" s="81"/>
      <c r="EA45" s="81"/>
      <c r="EB45" s="383">
        <f t="shared" si="186"/>
        <v>43079</v>
      </c>
      <c r="EC45" s="238">
        <v>43189</v>
      </c>
      <c r="ED45" s="468">
        <f t="shared" si="142"/>
        <v>3.6666666666666665</v>
      </c>
      <c r="EE45" s="620">
        <f ca="1">IF(((EC45-TODAY())/30)&lt;0,0,(EC45-TODAY())/30)</f>
        <v>0</v>
      </c>
      <c r="EF45" s="771"/>
      <c r="EG45" s="812">
        <v>43189</v>
      </c>
      <c r="EH45" s="214">
        <v>43017</v>
      </c>
      <c r="EI45" s="214">
        <v>43189</v>
      </c>
      <c r="EJ45" s="395"/>
      <c r="EK45" s="533">
        <f t="shared" si="198"/>
        <v>43110</v>
      </c>
      <c r="EL45" s="282">
        <v>43207</v>
      </c>
      <c r="EM45" s="283">
        <v>2018</v>
      </c>
      <c r="EN45" s="466">
        <f t="shared" si="187"/>
        <v>3.2333333333333334</v>
      </c>
      <c r="EO45" s="455">
        <v>25338.951325993217</v>
      </c>
      <c r="EP45" s="213">
        <f t="shared" si="158"/>
        <v>81929.275954044744</v>
      </c>
      <c r="EQ45" s="479" t="s">
        <v>466</v>
      </c>
      <c r="ER45" s="353">
        <v>119075</v>
      </c>
      <c r="ES45" s="454">
        <v>43453.51</v>
      </c>
      <c r="ET45" s="353"/>
      <c r="EU45" s="353"/>
      <c r="EV45" s="353">
        <v>0</v>
      </c>
      <c r="EW45" s="483">
        <f t="shared" si="159"/>
        <v>0</v>
      </c>
      <c r="EX45" s="351" t="s">
        <v>504</v>
      </c>
      <c r="EY45" s="487"/>
      <c r="EZ45" s="487" t="s">
        <v>585</v>
      </c>
      <c r="FA45" s="352" t="s">
        <v>505</v>
      </c>
      <c r="FB45" s="126">
        <f t="shared" si="143"/>
        <v>43336</v>
      </c>
      <c r="FC45" s="81"/>
      <c r="FD45" s="81">
        <v>43262</v>
      </c>
      <c r="FE45" s="81"/>
      <c r="FF45" s="81"/>
      <c r="FG45" s="81">
        <v>43347</v>
      </c>
      <c r="FH45" s="74"/>
      <c r="FI45" s="214">
        <f>DATE(YEAR(EC45)+1,MONTH(EC45),DAY(EC45))</f>
        <v>43554</v>
      </c>
      <c r="FJ45" s="447"/>
      <c r="FK45" s="74"/>
      <c r="FL45" s="73">
        <v>43340</v>
      </c>
      <c r="FM45" s="73"/>
      <c r="FN45" s="74"/>
      <c r="FO45" s="73">
        <v>43574</v>
      </c>
      <c r="FP45" s="31"/>
      <c r="FQ45" s="31"/>
      <c r="FR45" s="31" t="s">
        <v>868</v>
      </c>
      <c r="FS45" s="126"/>
      <c r="FT45" s="73">
        <v>43287</v>
      </c>
      <c r="FU45" s="31"/>
      <c r="FV45" s="161">
        <v>43762</v>
      </c>
      <c r="FW45" s="31" t="s">
        <v>105</v>
      </c>
      <c r="FX45" s="529"/>
      <c r="FY45" s="652">
        <f t="shared" si="145"/>
        <v>8805106.0449999999</v>
      </c>
      <c r="FZ45" s="550">
        <f t="shared" si="146"/>
        <v>8805106.0449999999</v>
      </c>
      <c r="GA45" s="500">
        <f t="shared" si="160"/>
        <v>8805106.0449999999</v>
      </c>
      <c r="GB45" s="610">
        <f>GM45+GN45+GR45+GQ45+GV45+GX45</f>
        <v>925000</v>
      </c>
      <c r="GC45" s="28">
        <f t="shared" si="147"/>
        <v>1959.9830036683852</v>
      </c>
      <c r="GD45" s="28">
        <f t="shared" si="161"/>
        <v>176102.12090000001</v>
      </c>
      <c r="GE45" s="413">
        <v>2572426.04</v>
      </c>
      <c r="GF45" s="417"/>
      <c r="GG45" s="415">
        <f t="shared" si="162"/>
        <v>51448.520799999998</v>
      </c>
      <c r="GH45" s="9">
        <f>GI45+GJ45</f>
        <v>5272823.875</v>
      </c>
      <c r="GI45" s="10">
        <v>1076863.6000000001</v>
      </c>
      <c r="GJ45" s="10">
        <v>4195960.2750000004</v>
      </c>
      <c r="GK45" s="407">
        <f t="shared" si="163"/>
        <v>105456.47749999999</v>
      </c>
      <c r="GL45" s="9"/>
      <c r="GM45" s="9">
        <v>925000</v>
      </c>
      <c r="GN45" s="45">
        <v>0</v>
      </c>
      <c r="GO45" s="23">
        <f t="shared" si="148"/>
        <v>0.10505268139561628</v>
      </c>
      <c r="GP45" s="60"/>
      <c r="GQ45" s="60"/>
      <c r="GR45" s="9">
        <v>0</v>
      </c>
      <c r="GS45" s="28">
        <f t="shared" si="188"/>
        <v>18500</v>
      </c>
      <c r="GT45" s="28">
        <f t="shared" si="189"/>
        <v>69948.520799999998</v>
      </c>
      <c r="GU45" s="680"/>
      <c r="GV45" s="680">
        <v>0</v>
      </c>
      <c r="GW45" s="680">
        <f>(GE45+GM45+GV45)/AD45</f>
        <v>69948.520799999998</v>
      </c>
      <c r="GX45" s="680"/>
      <c r="GY45" s="680">
        <f t="shared" si="190"/>
        <v>69948.520799999998</v>
      </c>
      <c r="GZ45" s="681">
        <f>(GE45+GM45+GV45+GX45)/(GU45+FZ45-HA45)</f>
        <v>0.39720430647011024</v>
      </c>
      <c r="HA45" s="680"/>
      <c r="HB45" s="680"/>
      <c r="HC45" s="9">
        <v>34856.129999999997</v>
      </c>
      <c r="HD45" s="610">
        <v>8618421.7041630428</v>
      </c>
      <c r="HE45" s="608">
        <f t="shared" si="191"/>
        <v>0.97879817234649136</v>
      </c>
      <c r="HF45" s="616">
        <f t="shared" si="192"/>
        <v>186684.3408369571</v>
      </c>
      <c r="HG45" s="602">
        <f t="shared" ca="1" si="193"/>
        <v>186684.3408369571</v>
      </c>
      <c r="HH45" s="608">
        <f ca="1">(HG45+HD45)/FZ45</f>
        <v>1</v>
      </c>
      <c r="HI45" s="602">
        <f>'[1]GLOBAL OPERATION'!$AG$45</f>
        <v>553480.56000000006</v>
      </c>
      <c r="HJ45" s="602">
        <f t="shared" si="194"/>
        <v>371519.43999999994</v>
      </c>
      <c r="HK45" s="609">
        <f t="shared" si="195"/>
        <v>0.59835736216216218</v>
      </c>
      <c r="HL45" s="609"/>
      <c r="HM45" s="673"/>
      <c r="HN45" s="62"/>
      <c r="HO45" s="673"/>
      <c r="HP45" s="673">
        <f t="shared" si="196"/>
        <v>0</v>
      </c>
      <c r="HQ45" s="539"/>
      <c r="HR45" s="539"/>
      <c r="HS45" s="539"/>
      <c r="HT45" s="539"/>
      <c r="HU45" s="539"/>
      <c r="HV45" s="673"/>
      <c r="HW45" s="673">
        <f t="shared" si="197"/>
        <v>0</v>
      </c>
      <c r="HX45" s="539"/>
    </row>
    <row r="46" spans="1:232" ht="27" customHeight="1">
      <c r="A46" s="820" t="s">
        <v>853</v>
      </c>
      <c r="B46" s="6" t="s">
        <v>14</v>
      </c>
      <c r="C46" s="6" t="s">
        <v>90</v>
      </c>
      <c r="D46" s="6">
        <v>2022</v>
      </c>
      <c r="E46" s="6"/>
      <c r="F46" s="6"/>
      <c r="G46" s="6"/>
      <c r="H46" s="33"/>
      <c r="I46" s="31"/>
      <c r="J46" s="31"/>
      <c r="K46" s="180"/>
      <c r="L46" s="111"/>
      <c r="M46" s="67"/>
      <c r="N46" s="68"/>
      <c r="O46" s="142"/>
      <c r="P46" s="142"/>
      <c r="Q46" s="142"/>
      <c r="R46" s="142"/>
      <c r="S46" s="142"/>
      <c r="T46" s="148"/>
      <c r="U46" s="148"/>
      <c r="V46" s="148"/>
      <c r="W46" s="142"/>
      <c r="X46" s="143"/>
      <c r="Y46" s="525"/>
      <c r="Z46" s="143"/>
      <c r="AA46" s="145"/>
      <c r="AB46" s="146"/>
      <c r="AC46" s="6" t="s">
        <v>308</v>
      </c>
      <c r="AD46" s="493">
        <f t="shared" si="131"/>
        <v>45</v>
      </c>
      <c r="AE46" s="493"/>
      <c r="AF46" s="7"/>
      <c r="AG46" s="7"/>
      <c r="AH46" s="42"/>
      <c r="AI46" s="31">
        <v>45</v>
      </c>
      <c r="AJ46" s="797"/>
      <c r="AK46" s="278"/>
      <c r="AL46" s="586">
        <f t="shared" si="133"/>
        <v>0</v>
      </c>
      <c r="AM46" s="8">
        <f t="shared" si="134"/>
        <v>0</v>
      </c>
      <c r="AN46" s="35"/>
      <c r="AO46" s="35"/>
      <c r="AP46" s="35"/>
      <c r="AQ46" s="53"/>
      <c r="AR46" s="53"/>
      <c r="AS46" s="53"/>
      <c r="AT46" s="53"/>
      <c r="AU46" s="53"/>
      <c r="AV46" s="8"/>
      <c r="AW46" s="51"/>
      <c r="AX46" s="53"/>
      <c r="AY46" s="35"/>
      <c r="AZ46" s="34"/>
      <c r="BA46" s="6"/>
      <c r="BB46" s="31"/>
      <c r="BC46" s="31"/>
      <c r="BD46" s="31"/>
      <c r="BE46" s="31"/>
      <c r="BF46" s="165"/>
      <c r="BG46" s="165"/>
      <c r="BH46" s="126"/>
      <c r="BI46" s="126"/>
      <c r="BJ46" s="660"/>
      <c r="BK46" s="660"/>
      <c r="BL46" s="661"/>
      <c r="BM46" s="659">
        <f t="shared" si="135"/>
        <v>0</v>
      </c>
      <c r="BN46" s="578"/>
      <c r="BO46" s="109"/>
      <c r="BP46" s="138"/>
      <c r="BQ46" s="654">
        <f>(DATEDIF(BO46,BP46,"d"))/30</f>
        <v>0</v>
      </c>
      <c r="BR46" s="638"/>
      <c r="BS46" s="110"/>
      <c r="BT46" s="110"/>
      <c r="BU46" s="202"/>
      <c r="BV46" s="201"/>
      <c r="BW46" s="439"/>
      <c r="BX46" s="201"/>
      <c r="BY46" s="557"/>
      <c r="BZ46" s="439"/>
      <c r="CA46" s="439"/>
      <c r="CB46" s="339"/>
      <c r="CC46" s="341"/>
      <c r="CD46" s="341"/>
      <c r="CE46" s="343" t="str">
        <f t="shared" si="136"/>
        <v>0</v>
      </c>
      <c r="CF46" s="341"/>
      <c r="CG46" s="341"/>
      <c r="CH46" s="343" t="str">
        <f t="shared" si="137"/>
        <v>0</v>
      </c>
      <c r="CI46" s="341"/>
      <c r="CJ46" s="341"/>
      <c r="CK46" s="343" t="str">
        <f t="shared" si="138"/>
        <v>0</v>
      </c>
      <c r="CL46" s="341"/>
      <c r="CM46" s="341"/>
      <c r="CN46" s="343" t="str">
        <f t="shared" si="139"/>
        <v>0</v>
      </c>
      <c r="CO46" s="341"/>
      <c r="CP46" s="341"/>
      <c r="CQ46" s="343" t="str">
        <f t="shared" si="140"/>
        <v>0</v>
      </c>
      <c r="CR46" s="290"/>
      <c r="CS46" s="345"/>
      <c r="CT46" s="330"/>
      <c r="CU46" s="331"/>
      <c r="CV46" s="332" t="str">
        <f t="shared" si="157"/>
        <v>0</v>
      </c>
      <c r="CW46" s="330"/>
      <c r="CX46" s="449">
        <v>45130</v>
      </c>
      <c r="CY46" s="233"/>
      <c r="CZ46" s="284">
        <f t="shared" si="141"/>
        <v>1504.3333333333333</v>
      </c>
      <c r="DA46" s="332"/>
      <c r="DB46" s="450"/>
      <c r="DC46" s="169"/>
      <c r="DD46" s="330"/>
      <c r="DE46" s="335"/>
      <c r="DF46" s="332"/>
      <c r="DG46" s="330"/>
      <c r="DH46" s="348"/>
      <c r="DI46" s="333"/>
      <c r="DJ46" s="334"/>
      <c r="DK46" s="335"/>
      <c r="DL46" s="332"/>
      <c r="DM46" s="335"/>
      <c r="DN46" s="335"/>
      <c r="DO46" s="332"/>
      <c r="DP46" s="336"/>
      <c r="DQ46" s="336"/>
      <c r="DR46" s="332"/>
      <c r="DS46" s="335"/>
      <c r="DT46" s="335"/>
      <c r="DU46" s="332"/>
      <c r="DV46" s="335"/>
      <c r="DW46" s="335"/>
      <c r="DX46" s="332"/>
      <c r="DY46" s="335"/>
      <c r="DZ46" s="335"/>
      <c r="EA46" s="335"/>
      <c r="EB46" s="498"/>
      <c r="EC46" s="476"/>
      <c r="ED46" s="473">
        <f t="shared" si="142"/>
        <v>0</v>
      </c>
      <c r="EE46" s="622">
        <f ca="1">IF(((EC46-TODAY())/30)&lt;0,0,(EC46-TODAY())/30)</f>
        <v>0</v>
      </c>
      <c r="EF46" s="475">
        <f>DATE(YEAR(DH46)+2,MONTH(DH46),DAY(DH46))</f>
        <v>731</v>
      </c>
      <c r="EG46" s="526"/>
      <c r="EH46" s="526"/>
      <c r="EI46" s="526">
        <f>DATE(YEAR(EC46),MONTH(EC46)+4,DAY(EC46)+2)</f>
        <v>123</v>
      </c>
      <c r="EJ46" s="295"/>
      <c r="EK46" s="534">
        <f t="shared" si="198"/>
        <v>31</v>
      </c>
      <c r="EL46" s="476">
        <f>DATE(YEAR(EC46),MONTH(EC46)+1,DAY(EC46))</f>
        <v>31</v>
      </c>
      <c r="EM46" s="368"/>
      <c r="EN46" s="471">
        <f>(EL46-EK46)/30</f>
        <v>0</v>
      </c>
      <c r="EO46" s="457"/>
      <c r="EP46" s="173">
        <f t="shared" si="158"/>
        <v>0</v>
      </c>
      <c r="EQ46" s="77"/>
      <c r="ER46" s="353"/>
      <c r="ES46" s="353"/>
      <c r="ET46" s="353"/>
      <c r="EU46" s="353"/>
      <c r="EV46" s="353"/>
      <c r="EW46" s="483" t="e">
        <f t="shared" si="159"/>
        <v>#DIV/0!</v>
      </c>
      <c r="EX46" s="350"/>
      <c r="EY46" s="362"/>
      <c r="EZ46" s="350"/>
      <c r="FA46" s="350"/>
      <c r="FB46" s="126">
        <f t="shared" si="143"/>
        <v>731</v>
      </c>
      <c r="FC46" s="80"/>
      <c r="FD46" s="80"/>
      <c r="FE46" s="80"/>
      <c r="FF46" s="80"/>
      <c r="FG46" s="80"/>
      <c r="FH46" s="31"/>
      <c r="FI46" s="194">
        <f>DATE(YEAR(EC46)+1,MONTH(EC46),DAY(EC46))</f>
        <v>366</v>
      </c>
      <c r="FJ46" s="194"/>
      <c r="FK46" s="31"/>
      <c r="FL46" s="31"/>
      <c r="FM46" s="31"/>
      <c r="FN46" s="31"/>
      <c r="FO46" s="31"/>
      <c r="FP46" s="31"/>
      <c r="FQ46" s="31"/>
      <c r="FR46" s="31"/>
      <c r="FS46" s="31"/>
      <c r="FT46" s="31"/>
      <c r="FU46" s="31"/>
      <c r="FV46" s="31"/>
      <c r="FW46" s="31"/>
      <c r="FX46" s="529"/>
      <c r="FY46" s="652">
        <f t="shared" si="145"/>
        <v>0</v>
      </c>
      <c r="FZ46" s="550">
        <f t="shared" si="146"/>
        <v>0</v>
      </c>
      <c r="GA46" s="45">
        <f t="shared" si="160"/>
        <v>0</v>
      </c>
      <c r="GB46" s="602">
        <f>GM46+GN46+GR46+GV46</f>
        <v>0</v>
      </c>
      <c r="GC46" s="28" t="e">
        <f t="shared" si="147"/>
        <v>#DIV/0!</v>
      </c>
      <c r="GD46" s="28">
        <f t="shared" si="161"/>
        <v>0</v>
      </c>
      <c r="GE46" s="413"/>
      <c r="GF46" s="417"/>
      <c r="GG46" s="415">
        <f t="shared" si="162"/>
        <v>0</v>
      </c>
      <c r="GH46" s="9">
        <f>GI46+GJ46</f>
        <v>0</v>
      </c>
      <c r="GI46" s="10"/>
      <c r="GJ46" s="10"/>
      <c r="GK46" s="407">
        <f t="shared" si="163"/>
        <v>0</v>
      </c>
      <c r="GL46" s="9"/>
      <c r="GM46" s="9"/>
      <c r="GN46" s="45"/>
      <c r="GO46" s="23" t="e">
        <f t="shared" si="148"/>
        <v>#DIV/0!</v>
      </c>
      <c r="GP46" s="45"/>
      <c r="GQ46" s="45"/>
      <c r="GR46" s="9"/>
      <c r="GS46" s="28"/>
      <c r="GT46" s="28"/>
      <c r="GU46" s="680"/>
      <c r="GV46" s="680"/>
      <c r="GW46" s="680"/>
      <c r="GX46" s="680"/>
      <c r="GY46" s="680"/>
      <c r="GZ46" s="681"/>
      <c r="HA46" s="680"/>
      <c r="HB46" s="680"/>
      <c r="HC46" s="9"/>
      <c r="HD46" s="602"/>
      <c r="HE46" s="608"/>
      <c r="HF46" s="602"/>
      <c r="HG46" s="602"/>
      <c r="HH46" s="608"/>
      <c r="HI46" s="602"/>
      <c r="HJ46" s="602"/>
      <c r="HK46" s="602"/>
      <c r="HL46" s="602"/>
      <c r="HM46" s="673"/>
      <c r="HN46" s="62"/>
      <c r="HO46" s="673"/>
      <c r="HP46" s="673"/>
      <c r="HQ46" s="539"/>
      <c r="HR46" s="539"/>
      <c r="HS46" s="539"/>
      <c r="HT46" s="539"/>
      <c r="HU46" s="539"/>
      <c r="HV46" s="673"/>
      <c r="HW46" s="673"/>
      <c r="HX46" s="539"/>
    </row>
    <row r="47" spans="1:232" ht="42.75" hidden="1" customHeight="1">
      <c r="A47" s="57" t="s">
        <v>281</v>
      </c>
      <c r="B47" s="6" t="s">
        <v>21</v>
      </c>
      <c r="C47" s="6" t="s">
        <v>90</v>
      </c>
      <c r="D47" s="6">
        <v>2012</v>
      </c>
      <c r="E47" s="6" t="s">
        <v>62</v>
      </c>
      <c r="F47" s="6" t="s">
        <v>16</v>
      </c>
      <c r="G47" s="490" t="s">
        <v>464</v>
      </c>
      <c r="H47" s="6" t="s">
        <v>187</v>
      </c>
      <c r="I47" s="31" t="s">
        <v>253</v>
      </c>
      <c r="J47" s="31"/>
      <c r="K47" s="180"/>
      <c r="L47" s="108"/>
      <c r="M47" s="108"/>
      <c r="N47" s="108"/>
      <c r="O47" s="142">
        <v>8821</v>
      </c>
      <c r="P47" s="142">
        <v>530000</v>
      </c>
      <c r="Q47" s="142">
        <v>289110</v>
      </c>
      <c r="R47" s="142">
        <f>P47/AD47</f>
        <v>13250</v>
      </c>
      <c r="S47" s="142">
        <f>P47/O47</f>
        <v>60.083890715338399</v>
      </c>
      <c r="T47" s="142">
        <f>Q47/O47</f>
        <v>32.775195556059401</v>
      </c>
      <c r="U47" s="142">
        <f>Q47/AK47</f>
        <v>111.55441514093337</v>
      </c>
      <c r="V47" s="142">
        <f>Q47/AD47</f>
        <v>7227.75</v>
      </c>
      <c r="W47" s="142">
        <f>O47/AD47</f>
        <v>220.52500000000001</v>
      </c>
      <c r="X47" s="142"/>
      <c r="Y47" s="522">
        <f>10000*AD47/O47</f>
        <v>45.346332615349731</v>
      </c>
      <c r="Z47" s="143" t="s">
        <v>163</v>
      </c>
      <c r="AA47" s="145"/>
      <c r="AB47" s="146"/>
      <c r="AC47" s="6" t="s">
        <v>10</v>
      </c>
      <c r="AD47" s="493">
        <f t="shared" si="131"/>
        <v>40</v>
      </c>
      <c r="AE47" s="493">
        <f>AD47-AI47</f>
        <v>40</v>
      </c>
      <c r="AF47" s="7"/>
      <c r="AG47" s="6">
        <v>40</v>
      </c>
      <c r="AH47" s="42"/>
      <c r="AI47" s="42"/>
      <c r="AJ47" s="35">
        <v>2569.23</v>
      </c>
      <c r="AK47" s="278">
        <v>2591.65</v>
      </c>
      <c r="AL47" s="586">
        <f t="shared" si="133"/>
        <v>64.23075</v>
      </c>
      <c r="AM47" s="8">
        <f t="shared" si="134"/>
        <v>64.791250000000005</v>
      </c>
      <c r="AN47" s="35">
        <v>5.4266388351373758</v>
      </c>
      <c r="AO47" s="35">
        <v>5.38</v>
      </c>
      <c r="AP47" s="35">
        <v>348.55708235999998</v>
      </c>
      <c r="AQ47" s="53">
        <f>4/AD47</f>
        <v>0.1</v>
      </c>
      <c r="AR47" s="53">
        <f>12/AD47</f>
        <v>0.3</v>
      </c>
      <c r="AS47" s="53">
        <f>13/AD47</f>
        <v>0.32500000000000001</v>
      </c>
      <c r="AT47" s="53">
        <f>9/AD47</f>
        <v>0.22500000000000001</v>
      </c>
      <c r="AU47" s="53">
        <f>2/AD47</f>
        <v>0.05</v>
      </c>
      <c r="AV47" s="762">
        <v>1150</v>
      </c>
      <c r="AW47" s="398"/>
      <c r="AX47" s="54">
        <f>AW47/O47</f>
        <v>0</v>
      </c>
      <c r="AY47" s="36">
        <v>2.5</v>
      </c>
      <c r="AZ47" s="34" t="s">
        <v>398</v>
      </c>
      <c r="BA47" s="8" t="s">
        <v>99</v>
      </c>
      <c r="BB47" s="35"/>
      <c r="BC47" s="35"/>
      <c r="BD47" s="35"/>
      <c r="BE47" s="35"/>
      <c r="BF47" s="31"/>
      <c r="BG47" s="31"/>
      <c r="BH47" s="126">
        <v>40963</v>
      </c>
      <c r="BI47" s="126"/>
      <c r="BJ47" s="660">
        <v>40998</v>
      </c>
      <c r="BK47" s="660">
        <v>41094</v>
      </c>
      <c r="BL47" s="661"/>
      <c r="BM47" s="659">
        <f t="shared" si="135"/>
        <v>3.2</v>
      </c>
      <c r="BN47" s="578"/>
      <c r="BO47" s="546"/>
      <c r="BP47" s="558">
        <v>41262</v>
      </c>
      <c r="BQ47" s="634"/>
      <c r="BR47" s="634"/>
      <c r="BS47" s="110">
        <f>DATE(YEAR(BP47),MONTH(BP47)+3,DAY(BP47))</f>
        <v>41352</v>
      </c>
      <c r="BT47" s="65"/>
      <c r="BU47" s="201">
        <v>41365</v>
      </c>
      <c r="BV47" s="201">
        <f>DATE(YEAR(BU47),MONTH(BU47)+24,DAY(BU47))</f>
        <v>42095</v>
      </c>
      <c r="BW47" s="439">
        <v>108407</v>
      </c>
      <c r="BX47" s="201" t="str">
        <f>IF(EL47&gt;BV47,"oui","non")</f>
        <v>oui</v>
      </c>
      <c r="BY47" s="557">
        <f>(BV47-EL47)/30</f>
        <v>-1.8666666666666667</v>
      </c>
      <c r="BZ47" s="439" t="str">
        <f>IF((BY47*EO47)&lt;0,"0",BY47*EO47)</f>
        <v>0</v>
      </c>
      <c r="CA47" s="439">
        <f>BW47-BZ47</f>
        <v>108407</v>
      </c>
      <c r="CB47" s="81"/>
      <c r="CC47" s="81"/>
      <c r="CD47" s="81"/>
      <c r="CE47" s="326" t="str">
        <f t="shared" si="136"/>
        <v>0</v>
      </c>
      <c r="CF47" s="81"/>
      <c r="CG47" s="81"/>
      <c r="CH47" s="326" t="str">
        <f t="shared" si="137"/>
        <v>0</v>
      </c>
      <c r="CI47" s="81"/>
      <c r="CJ47" s="81"/>
      <c r="CK47" s="326" t="str">
        <f t="shared" si="138"/>
        <v>0</v>
      </c>
      <c r="CL47" s="81"/>
      <c r="CM47" s="81"/>
      <c r="CN47" s="326" t="str">
        <f t="shared" si="139"/>
        <v>0</v>
      </c>
      <c r="CO47" s="83"/>
      <c r="CP47" s="365"/>
      <c r="CQ47" s="326" t="str">
        <f t="shared" si="140"/>
        <v>0</v>
      </c>
      <c r="CR47" s="292"/>
      <c r="CS47" s="159"/>
      <c r="CT47" s="81"/>
      <c r="CU47" s="159"/>
      <c r="CV47" s="326" t="str">
        <f t="shared" si="157"/>
        <v>0</v>
      </c>
      <c r="CW47" s="81"/>
      <c r="CX47" s="236">
        <v>41309</v>
      </c>
      <c r="CY47" s="230">
        <v>2013</v>
      </c>
      <c r="CZ47" s="285">
        <f t="shared" si="141"/>
        <v>7.166666666666667</v>
      </c>
      <c r="DA47" s="326" t="str">
        <f>IF(AND(CW47&gt;0,CX47&gt;0),CX47-CW47,"0")</f>
        <v>0</v>
      </c>
      <c r="DB47" s="76">
        <v>15</v>
      </c>
      <c r="DC47" s="76">
        <f>DATEDIF(CX47,EC47,"M")</f>
        <v>26</v>
      </c>
      <c r="DD47" s="214"/>
      <c r="DE47" s="213"/>
      <c r="DF47" s="448" t="str">
        <f>IF(AND(DD47&gt;0,DE47&gt;0),DE47-DD47,"0")</f>
        <v>0</v>
      </c>
      <c r="DG47" s="214"/>
      <c r="DH47" s="395"/>
      <c r="DI47" s="396" t="str">
        <f>IF(AND(DG47&gt;0,DH47&gt;0),DH47-DG47,"0")</f>
        <v>0</v>
      </c>
      <c r="DJ47" s="179"/>
      <c r="DK47" s="214"/>
      <c r="DL47" s="448" t="str">
        <f>IF(AND(DJ47&gt;0,DK47&gt;0),DK47-DJ47,"0")</f>
        <v>0</v>
      </c>
      <c r="DM47" s="213"/>
      <c r="DN47" s="214"/>
      <c r="DO47" s="448" t="str">
        <f>IF(AND(DM47&gt;0,DN47&gt;0),DN47-DM47,"0")</f>
        <v>0</v>
      </c>
      <c r="DP47" s="219"/>
      <c r="DQ47" s="219"/>
      <c r="DR47" s="448" t="str">
        <f>IF(AND(DP47&gt;0,DQ47&gt;0),DQ47-DP47,"0")</f>
        <v>0</v>
      </c>
      <c r="DS47" s="219"/>
      <c r="DT47" s="214"/>
      <c r="DU47" s="448" t="str">
        <f>IF(AND(DS47&gt;0,DT47&gt;0),DT47-DS47,"0")</f>
        <v>0</v>
      </c>
      <c r="DV47" s="214"/>
      <c r="DW47" s="214"/>
      <c r="DX47" s="448" t="str">
        <f>IF(AND(DV47&gt;0,DW47&gt;0),DW47-DV47,"0")</f>
        <v>0</v>
      </c>
      <c r="DY47" s="220"/>
      <c r="DZ47" s="220"/>
      <c r="EA47" s="220"/>
      <c r="EB47" s="293">
        <f>DATE(YEAR(CX47),MONTH(CX47)+DB47,DAY(CX47))</f>
        <v>41763</v>
      </c>
      <c r="EC47" s="238">
        <v>42111</v>
      </c>
      <c r="ED47" s="468">
        <f t="shared" si="142"/>
        <v>11.6</v>
      </c>
      <c r="EE47" s="620"/>
      <c r="EF47" s="293"/>
      <c r="EG47" s="127">
        <v>42202</v>
      </c>
      <c r="EH47" s="75" t="s">
        <v>105</v>
      </c>
      <c r="EI47" s="84">
        <v>42151</v>
      </c>
      <c r="EJ47" s="293"/>
      <c r="EK47" s="533">
        <f t="shared" si="198"/>
        <v>41794</v>
      </c>
      <c r="EL47" s="240">
        <v>42151</v>
      </c>
      <c r="EM47" s="294">
        <v>2015</v>
      </c>
      <c r="EN47" s="463">
        <f>(DATEDIF(EK47,EL47,"d"))/30</f>
        <v>11.9</v>
      </c>
      <c r="EO47" s="455">
        <f>172364.265683679/12</f>
        <v>14363.68880697325</v>
      </c>
      <c r="EP47" s="159">
        <f t="shared" si="158"/>
        <v>170927.89680298168</v>
      </c>
      <c r="EQ47" s="75"/>
      <c r="ER47" s="349"/>
      <c r="ES47" s="454">
        <f>HC47</f>
        <v>51532.92</v>
      </c>
      <c r="ET47" s="353"/>
      <c r="EU47" s="353"/>
      <c r="EV47" s="353"/>
      <c r="EW47" s="483">
        <f t="shared" si="159"/>
        <v>0</v>
      </c>
      <c r="EX47" s="350"/>
      <c r="EY47" s="362" t="s">
        <v>524</v>
      </c>
      <c r="EZ47" s="350"/>
      <c r="FA47" s="350"/>
      <c r="FB47" s="126">
        <f t="shared" si="143"/>
        <v>731</v>
      </c>
      <c r="FC47" s="81" t="s">
        <v>105</v>
      </c>
      <c r="FD47" s="81"/>
      <c r="FE47" s="81" t="s">
        <v>105</v>
      </c>
      <c r="FF47" s="81" t="s">
        <v>105</v>
      </c>
      <c r="FG47" s="132">
        <v>42628</v>
      </c>
      <c r="FH47" s="132">
        <v>42831</v>
      </c>
      <c r="FI47" s="214">
        <f>DATE(YEAR(EC47)+1,MONTH(EC47),DAY(EC47))</f>
        <v>42477</v>
      </c>
      <c r="FJ47" s="442">
        <v>45341</v>
      </c>
      <c r="FK47" s="132">
        <v>42170</v>
      </c>
      <c r="FL47" s="161" t="s">
        <v>262</v>
      </c>
      <c r="FM47" s="161"/>
      <c r="FN47" s="132">
        <v>42647</v>
      </c>
      <c r="FO47" s="80"/>
      <c r="FP47" s="81">
        <v>42079</v>
      </c>
      <c r="FQ47" s="80"/>
      <c r="FR47" s="73">
        <v>42797</v>
      </c>
      <c r="FS47" s="73"/>
      <c r="FT47" s="80"/>
      <c r="FU47" s="80"/>
      <c r="FV47" s="132">
        <v>42978</v>
      </c>
      <c r="FW47" s="80"/>
      <c r="FX47" s="392">
        <v>5246631</v>
      </c>
      <c r="FY47" s="652">
        <f t="shared" si="145"/>
        <v>5090210.4499999993</v>
      </c>
      <c r="FZ47" s="550">
        <f t="shared" si="146"/>
        <v>5090210.4499999993</v>
      </c>
      <c r="GA47" s="500">
        <f t="shared" si="160"/>
        <v>5090210.4499999993</v>
      </c>
      <c r="GB47" s="610">
        <f>GM47+GN47+GR47</f>
        <v>663000</v>
      </c>
      <c r="GC47" s="28">
        <f t="shared" si="147"/>
        <v>1964.0809715818104</v>
      </c>
      <c r="GD47" s="28">
        <f t="shared" si="161"/>
        <v>127255.26124999998</v>
      </c>
      <c r="GE47" s="413">
        <v>1480537</v>
      </c>
      <c r="GF47" s="417"/>
      <c r="GG47" s="415">
        <f t="shared" si="162"/>
        <v>37013.425000000003</v>
      </c>
      <c r="GH47" s="9">
        <f>+GI47+GJ47</f>
        <v>2895140.53</v>
      </c>
      <c r="GI47" s="10">
        <v>565518</v>
      </c>
      <c r="GJ47" s="10">
        <v>2329622.5299999998</v>
      </c>
      <c r="GK47" s="407">
        <f t="shared" si="163"/>
        <v>72378.513249999989</v>
      </c>
      <c r="GL47" s="9">
        <v>0</v>
      </c>
      <c r="GM47" s="12">
        <v>663000</v>
      </c>
      <c r="GN47" s="45"/>
      <c r="GO47" s="23">
        <f t="shared" si="148"/>
        <v>0.13025001746244108</v>
      </c>
      <c r="GP47" s="60"/>
      <c r="GQ47" s="60"/>
      <c r="GR47" s="12">
        <v>0</v>
      </c>
      <c r="GS47" s="28">
        <f>GM47/AD47</f>
        <v>16575</v>
      </c>
      <c r="GT47" s="28">
        <f>(GE47+GM47)/AD47</f>
        <v>53588.425000000003</v>
      </c>
      <c r="GU47" s="680">
        <v>1151902.8490725001</v>
      </c>
      <c r="GV47" s="680">
        <v>800000</v>
      </c>
      <c r="GW47" s="680" t="e">
        <f>(#REF!+#REF!+GV47)/AD47</f>
        <v>#REF!</v>
      </c>
      <c r="GX47" s="680">
        <v>0</v>
      </c>
      <c r="GY47" s="680">
        <f>(GE47+GM47+GV47+GX47)/AD47</f>
        <v>73588.425000000003</v>
      </c>
      <c r="GZ47" s="681">
        <f>(GE47+GM47+GV47+GX47)/(GU47+FZ47-HA47)</f>
        <v>0.4949673218743304</v>
      </c>
      <c r="HA47" s="680">
        <v>295181.31</v>
      </c>
      <c r="HB47" s="683"/>
      <c r="HC47" s="9">
        <v>51532.92</v>
      </c>
      <c r="HD47" s="602"/>
      <c r="HE47" s="608">
        <f>HD47/FZ47</f>
        <v>0</v>
      </c>
      <c r="HF47" s="616">
        <f>FZ47-HD47</f>
        <v>5090210.4499999993</v>
      </c>
      <c r="HG47" s="602">
        <f ca="1">IF(EE47&lt;DATEDIF(TODAY(),$HG$1,"M"),HF47,(HF47/EE47*DATEDIF(TODAY(),$HG$1,"M")))</f>
        <v>5090210.4499999993</v>
      </c>
      <c r="HH47" s="602"/>
      <c r="HI47" s="602"/>
      <c r="HJ47" s="602">
        <f>GB47-HI47</f>
        <v>663000</v>
      </c>
      <c r="HK47" s="609">
        <f>HI47/GB47</f>
        <v>0</v>
      </c>
      <c r="HL47" s="609"/>
      <c r="HM47" s="673"/>
      <c r="HN47" s="62"/>
      <c r="HO47" s="673"/>
      <c r="HP47" s="673">
        <f>HQ47+HR47+HS47+HT47+HU47</f>
        <v>0</v>
      </c>
      <c r="HQ47" s="539"/>
      <c r="HR47" s="539"/>
      <c r="HS47" s="539"/>
      <c r="HT47" s="539"/>
      <c r="HU47" s="539"/>
      <c r="HV47" s="673"/>
      <c r="HW47" s="673">
        <f t="shared" ref="HW47:HW87" si="199">HV47+HP47+HO47+HM47</f>
        <v>0</v>
      </c>
      <c r="HX47" s="539"/>
    </row>
    <row r="48" spans="1:232" ht="45" hidden="1" customHeight="1">
      <c r="A48" s="57" t="s">
        <v>207</v>
      </c>
      <c r="B48" s="15" t="s">
        <v>25</v>
      </c>
      <c r="C48" s="15" t="s">
        <v>92</v>
      </c>
      <c r="D48" s="15">
        <v>2014</v>
      </c>
      <c r="E48" s="15" t="s">
        <v>130</v>
      </c>
      <c r="F48" s="15"/>
      <c r="G48" s="768" t="s">
        <v>143</v>
      </c>
      <c r="H48" s="6" t="s">
        <v>187</v>
      </c>
      <c r="I48" s="32" t="s">
        <v>98</v>
      </c>
      <c r="J48" s="32"/>
      <c r="K48" s="141"/>
      <c r="L48" s="111" t="s">
        <v>44</v>
      </c>
      <c r="M48" s="67" t="s">
        <v>112</v>
      </c>
      <c r="N48" s="68">
        <v>41407</v>
      </c>
      <c r="O48" s="147">
        <v>1750</v>
      </c>
      <c r="P48" s="147">
        <v>325000</v>
      </c>
      <c r="Q48" s="147">
        <v>85500</v>
      </c>
      <c r="R48" s="142">
        <f>P48/AD48</f>
        <v>36111.111111111109</v>
      </c>
      <c r="S48" s="147">
        <f>P48/O48</f>
        <v>185.71428571428572</v>
      </c>
      <c r="T48" s="148">
        <f>Q48/O48</f>
        <v>48.857142857142854</v>
      </c>
      <c r="U48" s="148">
        <f>Q48/AK48</f>
        <v>102.57640742629196</v>
      </c>
      <c r="V48" s="148">
        <f>Q48/AD48</f>
        <v>9500</v>
      </c>
      <c r="W48" s="142">
        <f>O48/AD48</f>
        <v>194.44444444444446</v>
      </c>
      <c r="X48" s="149"/>
      <c r="Y48" s="524">
        <f>10000*AD48/O48</f>
        <v>51.428571428571431</v>
      </c>
      <c r="Z48" s="149" t="s">
        <v>153</v>
      </c>
      <c r="AA48" s="769">
        <v>30</v>
      </c>
      <c r="AB48" s="770"/>
      <c r="AC48" s="15" t="s">
        <v>9</v>
      </c>
      <c r="AD48" s="493">
        <f t="shared" si="131"/>
        <v>9</v>
      </c>
      <c r="AE48" s="493">
        <f>AD48-AI48</f>
        <v>9</v>
      </c>
      <c r="AF48" s="15">
        <v>9</v>
      </c>
      <c r="AG48" s="29"/>
      <c r="AH48" s="42"/>
      <c r="AI48" s="42"/>
      <c r="AJ48" s="796">
        <v>809.20999999999992</v>
      </c>
      <c r="AK48" s="278">
        <v>833.52499999999986</v>
      </c>
      <c r="AL48" s="586">
        <f t="shared" si="133"/>
        <v>89.912222222222212</v>
      </c>
      <c r="AM48" s="8">
        <f t="shared" si="134"/>
        <v>92.61388888888888</v>
      </c>
      <c r="AN48" s="35">
        <v>6.47</v>
      </c>
      <c r="AO48" s="35">
        <v>6.28</v>
      </c>
      <c r="AP48" s="35">
        <v>581.72</v>
      </c>
      <c r="AQ48" s="38">
        <v>0</v>
      </c>
      <c r="AR48" s="38">
        <v>0</v>
      </c>
      <c r="AS48" s="38">
        <v>0</v>
      </c>
      <c r="AT48" s="54">
        <f>8/AD48</f>
        <v>0.88888888888888884</v>
      </c>
      <c r="AU48" s="54">
        <f>1/AD48</f>
        <v>0.1111111111111111</v>
      </c>
      <c r="AV48" s="762"/>
      <c r="AW48" s="52">
        <v>0</v>
      </c>
      <c r="AX48" s="54">
        <f>AW48/O48</f>
        <v>0</v>
      </c>
      <c r="AY48" s="36">
        <v>2</v>
      </c>
      <c r="AZ48" s="32" t="s">
        <v>397</v>
      </c>
      <c r="BA48" s="15" t="s">
        <v>99</v>
      </c>
      <c r="BB48" s="32"/>
      <c r="BC48" s="32"/>
      <c r="BD48" s="32"/>
      <c r="BE48" s="32"/>
      <c r="BF48" s="215">
        <v>41591</v>
      </c>
      <c r="BG48" s="215"/>
      <c r="BH48" s="215">
        <v>41773</v>
      </c>
      <c r="BI48" s="215"/>
      <c r="BJ48" s="660">
        <v>41728</v>
      </c>
      <c r="BK48" s="660">
        <v>41800</v>
      </c>
      <c r="BL48" s="661"/>
      <c r="BM48" s="659">
        <f t="shared" si="135"/>
        <v>2.4</v>
      </c>
      <c r="BN48" s="578"/>
      <c r="BO48" s="109">
        <v>42054</v>
      </c>
      <c r="BP48" s="138">
        <v>42059</v>
      </c>
      <c r="BQ48" s="654">
        <f t="shared" ref="BQ48:BQ56" si="200">(DATEDIF(BO48,BP48,"d"))/30</f>
        <v>0.16666666666666666</v>
      </c>
      <c r="BR48" s="139"/>
      <c r="BS48" s="110">
        <v>42147</v>
      </c>
      <c r="BT48" s="110">
        <v>42074</v>
      </c>
      <c r="BU48" s="202">
        <v>42156</v>
      </c>
      <c r="BV48" s="201">
        <f>DATE(YEAR(BU48),MONTH(BU48)+24,DAY(BU48))</f>
        <v>42887</v>
      </c>
      <c r="BW48" s="439">
        <f>8170+32642</f>
        <v>40812</v>
      </c>
      <c r="BX48" s="201" t="str">
        <f>IF(EL48&gt;BV48,"oui","non")</f>
        <v>oui</v>
      </c>
      <c r="BY48" s="557">
        <f>(BV48-EL48)/30</f>
        <v>-10.933333333333334</v>
      </c>
      <c r="BZ48" s="439" t="str">
        <f>IF((BY48*EO48)&lt;0,"0",BY48*EO48)</f>
        <v>0</v>
      </c>
      <c r="CA48" s="439">
        <f>BW48-BZ48</f>
        <v>40812</v>
      </c>
      <c r="CB48" s="81">
        <v>41548</v>
      </c>
      <c r="CC48" s="81">
        <v>41549</v>
      </c>
      <c r="CD48" s="81">
        <v>41555</v>
      </c>
      <c r="CE48" s="326">
        <f t="shared" si="136"/>
        <v>6</v>
      </c>
      <c r="CF48" s="81">
        <v>41676</v>
      </c>
      <c r="CG48" s="81">
        <v>41676</v>
      </c>
      <c r="CH48" s="326">
        <f t="shared" si="137"/>
        <v>0</v>
      </c>
      <c r="CI48" s="81">
        <v>41684</v>
      </c>
      <c r="CJ48" s="81">
        <v>41688</v>
      </c>
      <c r="CK48" s="326">
        <f t="shared" si="138"/>
        <v>4</v>
      </c>
      <c r="CL48" s="81">
        <v>41773</v>
      </c>
      <c r="CM48" s="81">
        <v>41801</v>
      </c>
      <c r="CN48" s="326">
        <f t="shared" si="139"/>
        <v>28</v>
      </c>
      <c r="CO48" s="81">
        <v>41946</v>
      </c>
      <c r="CP48" s="81">
        <v>41946</v>
      </c>
      <c r="CQ48" s="326">
        <f t="shared" si="140"/>
        <v>0</v>
      </c>
      <c r="CR48" s="291"/>
      <c r="CS48" s="81">
        <v>42146</v>
      </c>
      <c r="CT48" s="81">
        <v>42158</v>
      </c>
      <c r="CU48" s="81">
        <v>42500</v>
      </c>
      <c r="CV48" s="326">
        <f t="shared" si="157"/>
        <v>342</v>
      </c>
      <c r="CW48" s="81">
        <v>42083</v>
      </c>
      <c r="CX48" s="238">
        <v>42500</v>
      </c>
      <c r="CY48" s="232">
        <v>2016</v>
      </c>
      <c r="CZ48" s="286">
        <f t="shared" si="141"/>
        <v>23.333333333333332</v>
      </c>
      <c r="DA48" s="326">
        <f>IF(AND(CW48&gt;0,CX48&gt;0),CX48-CW48,"0")</f>
        <v>417</v>
      </c>
      <c r="DB48" s="76">
        <v>13</v>
      </c>
      <c r="DC48" s="76">
        <f>DATEDIF(CX48,EC48,"M")</f>
        <v>22</v>
      </c>
      <c r="DD48" s="81">
        <v>42552</v>
      </c>
      <c r="DE48" s="81">
        <v>42906</v>
      </c>
      <c r="DF48" s="326">
        <f>IF(AND(DD48&gt;0,DE48&gt;0),DE48-DD48,"0")</f>
        <v>354</v>
      </c>
      <c r="DG48" s="328">
        <v>42615</v>
      </c>
      <c r="DH48" s="327">
        <v>42604</v>
      </c>
      <c r="DI48" s="329">
        <f>IF(AND(DG48&gt;0,DH48&gt;0),DH48-DG48,"0")</f>
        <v>-11</v>
      </c>
      <c r="DJ48" s="328">
        <v>42705</v>
      </c>
      <c r="DK48" s="327">
        <v>42906</v>
      </c>
      <c r="DL48" s="326">
        <f>IF(AND(DJ48&gt;0,DK48&gt;0),DK48-DJ48,"0")</f>
        <v>201</v>
      </c>
      <c r="DM48" s="81">
        <v>42775</v>
      </c>
      <c r="DN48" s="81">
        <v>43035</v>
      </c>
      <c r="DO48" s="326">
        <f>IF(AND(DM48&gt;0,DN48&gt;0),DN48-DM48,"0")</f>
        <v>260</v>
      </c>
      <c r="DP48" s="81">
        <v>42801</v>
      </c>
      <c r="DQ48" s="81">
        <v>42979</v>
      </c>
      <c r="DR48" s="326">
        <f>IF(AND(DP48&gt;0,DQ48&gt;0),DQ48-DP48,"0")</f>
        <v>178</v>
      </c>
      <c r="DS48" s="81">
        <v>42818</v>
      </c>
      <c r="DT48" s="81">
        <v>43017</v>
      </c>
      <c r="DU48" s="326">
        <f>IF(AND(DS48&gt;0,DT48&gt;0),DT48-DS48,"0")</f>
        <v>199</v>
      </c>
      <c r="DV48" s="81">
        <v>42879</v>
      </c>
      <c r="DW48" s="81">
        <v>43149</v>
      </c>
      <c r="DX48" s="326">
        <f>IF(AND(DV48&gt;0,DW48&gt;0),DW48-DV48,"0")</f>
        <v>270</v>
      </c>
      <c r="DY48" s="81">
        <v>43059</v>
      </c>
      <c r="DZ48" s="81" t="s">
        <v>392</v>
      </c>
      <c r="EA48" s="81">
        <v>43069</v>
      </c>
      <c r="EB48" s="293">
        <f>DATE(YEAR(CX48),MONTH(CX48)+DB48,DAY(CX48))</f>
        <v>42896</v>
      </c>
      <c r="EC48" s="238">
        <v>43171</v>
      </c>
      <c r="ED48" s="468">
        <f t="shared" si="142"/>
        <v>9.1666666666666661</v>
      </c>
      <c r="EE48" s="620">
        <f ca="1">IF(((EC48-TODAY())/30)&lt;0,0,(EC48-TODAY())/30)</f>
        <v>0</v>
      </c>
      <c r="EF48" s="293"/>
      <c r="EG48" s="812">
        <v>43206</v>
      </c>
      <c r="EH48" s="75" t="s">
        <v>105</v>
      </c>
      <c r="EI48" s="75">
        <v>43205</v>
      </c>
      <c r="EJ48" s="293"/>
      <c r="EK48" s="533">
        <f t="shared" si="198"/>
        <v>42926</v>
      </c>
      <c r="EL48" s="282">
        <v>43215</v>
      </c>
      <c r="EM48" s="232">
        <v>2018</v>
      </c>
      <c r="EN48" s="466">
        <f>(DATEDIF(EK48,EL48,"d"))/30</f>
        <v>9.6333333333333329</v>
      </c>
      <c r="EO48" s="455">
        <v>6118.3236895452637</v>
      </c>
      <c r="EP48" s="213">
        <f t="shared" si="158"/>
        <v>58939.85154261937</v>
      </c>
      <c r="EQ48" s="214">
        <v>43167</v>
      </c>
      <c r="ER48" s="353">
        <v>0</v>
      </c>
      <c r="ES48" s="454">
        <v>24629</v>
      </c>
      <c r="ET48" s="353">
        <f>3369*1.021</f>
        <v>3439.7489999999998</v>
      </c>
      <c r="EU48" s="483"/>
      <c r="EV48" s="353">
        <f>26909*1.021</f>
        <v>27474.088999999996</v>
      </c>
      <c r="EW48" s="483">
        <f t="shared" si="159"/>
        <v>1.4953602291201872E-2</v>
      </c>
      <c r="EX48" s="351" t="s">
        <v>506</v>
      </c>
      <c r="EY48" s="487" t="s">
        <v>586</v>
      </c>
      <c r="EZ48" s="487" t="s">
        <v>596</v>
      </c>
      <c r="FA48" s="352" t="s">
        <v>741</v>
      </c>
      <c r="FB48" s="126">
        <f t="shared" si="143"/>
        <v>43334</v>
      </c>
      <c r="FC48" s="214"/>
      <c r="FD48" s="214">
        <v>43259</v>
      </c>
      <c r="FE48" s="214"/>
      <c r="FF48" s="214" t="s">
        <v>105</v>
      </c>
      <c r="FG48" s="214">
        <v>43319</v>
      </c>
      <c r="FH48" s="215">
        <v>43418</v>
      </c>
      <c r="FI48" s="214">
        <v>43536</v>
      </c>
      <c r="FJ48" s="574"/>
      <c r="FK48" s="220" t="s">
        <v>105</v>
      </c>
      <c r="FL48" s="215">
        <v>43262</v>
      </c>
      <c r="FM48" s="215">
        <v>43423</v>
      </c>
      <c r="FN48" s="32"/>
      <c r="FO48" s="32"/>
      <c r="FP48" s="32"/>
      <c r="FQ48" s="32"/>
      <c r="FR48" s="32"/>
      <c r="FS48" s="126"/>
      <c r="FT48" s="215">
        <v>43223</v>
      </c>
      <c r="FU48" s="32"/>
      <c r="FV48" s="32"/>
      <c r="FW48" s="32" t="s">
        <v>105</v>
      </c>
      <c r="FX48" s="575">
        <v>1544438</v>
      </c>
      <c r="FY48" s="652">
        <f t="shared" si="145"/>
        <v>1837289</v>
      </c>
      <c r="FZ48" s="550">
        <f t="shared" si="146"/>
        <v>1837289</v>
      </c>
      <c r="GA48" s="500">
        <f t="shared" si="160"/>
        <v>1837289</v>
      </c>
      <c r="GB48" s="611">
        <f>GM48+GN48+GR48</f>
        <v>27159.56</v>
      </c>
      <c r="GC48" s="28">
        <f t="shared" si="147"/>
        <v>2204.2398248402869</v>
      </c>
      <c r="GD48" s="28">
        <f t="shared" si="161"/>
        <v>204143.22222222222</v>
      </c>
      <c r="GE48" s="573">
        <v>614225</v>
      </c>
      <c r="GF48" s="417"/>
      <c r="GG48" s="16">
        <f t="shared" si="162"/>
        <v>68247.222222222219</v>
      </c>
      <c r="GH48" s="573">
        <f>GI48+GJ48</f>
        <v>1199946</v>
      </c>
      <c r="GI48" s="761">
        <v>270994</v>
      </c>
      <c r="GJ48" s="761">
        <v>928952</v>
      </c>
      <c r="GK48" s="407">
        <f t="shared" si="163"/>
        <v>133327.33333333334</v>
      </c>
      <c r="GL48" s="573">
        <v>0</v>
      </c>
      <c r="GM48" s="573">
        <v>1</v>
      </c>
      <c r="GN48" s="45">
        <v>27158.560000000001</v>
      </c>
      <c r="GO48" s="23">
        <f t="shared" si="148"/>
        <v>5.4428018673164645E-7</v>
      </c>
      <c r="GP48" s="60"/>
      <c r="GQ48" s="60"/>
      <c r="GR48" s="573">
        <v>0</v>
      </c>
      <c r="GS48" s="28">
        <f>GM48/AD48</f>
        <v>0.1111111111111111</v>
      </c>
      <c r="GT48" s="28">
        <f>(GE48+GM48)/AD48</f>
        <v>68247.333333333328</v>
      </c>
      <c r="GU48" s="680">
        <v>0</v>
      </c>
      <c r="GV48" s="680">
        <v>0</v>
      </c>
      <c r="GW48" s="680" t="e">
        <f>(#REF!+#REF!+GV48)/AD48</f>
        <v>#REF!</v>
      </c>
      <c r="GX48" s="680"/>
      <c r="GY48" s="680">
        <f>(GE48+GM48+GV48+GX48)/AD48</f>
        <v>68247.333333333328</v>
      </c>
      <c r="GZ48" s="681">
        <f>(GE48+GM48+GV48+GX48)/(GU48+FZ48-HA48)</f>
        <v>0.33431104197543227</v>
      </c>
      <c r="HA48" s="680"/>
      <c r="HB48" s="680"/>
      <c r="HC48" s="9">
        <v>23117</v>
      </c>
      <c r="HD48" s="611">
        <v>1803727.2934400002</v>
      </c>
      <c r="HE48" s="608">
        <f>HD48/FZ48</f>
        <v>0.98173302808649054</v>
      </c>
      <c r="HF48" s="616">
        <f>FZ48-HD48</f>
        <v>33561.706559999846</v>
      </c>
      <c r="HG48" s="602">
        <f ca="1">IF(EE48&lt;DATEDIF(TODAY(),$HG$1,"M"),HF48,(HF48/EE48*DATEDIF(TODAY(),$HG$1,"M")))</f>
        <v>33561.706559999846</v>
      </c>
      <c r="HH48" s="602"/>
      <c r="HI48" s="603">
        <f>'[1]GLOBAL OPERATION'!$AG$46</f>
        <v>30000</v>
      </c>
      <c r="HJ48" s="602">
        <f>GB48-HI48</f>
        <v>-2840.4399999999987</v>
      </c>
      <c r="HK48" s="609">
        <f>HI48/GB48</f>
        <v>1.1045834321321848</v>
      </c>
      <c r="HL48" s="609"/>
      <c r="HM48" s="673"/>
      <c r="HN48" s="62"/>
      <c r="HO48" s="673"/>
      <c r="HP48" s="673">
        <f>HQ48+HR48+HS48+HT48+HU48</f>
        <v>0</v>
      </c>
      <c r="HQ48" s="539"/>
      <c r="HR48" s="539"/>
      <c r="HS48" s="539"/>
      <c r="HT48" s="539"/>
      <c r="HU48" s="539"/>
      <c r="HV48" s="673"/>
      <c r="HW48" s="673">
        <f t="shared" si="199"/>
        <v>0</v>
      </c>
      <c r="HX48" s="539"/>
    </row>
    <row r="49" spans="1:232" ht="51.75" hidden="1" customHeight="1">
      <c r="A49" s="426" t="s">
        <v>271</v>
      </c>
      <c r="B49" s="6" t="s">
        <v>21</v>
      </c>
      <c r="C49" s="6" t="s">
        <v>90</v>
      </c>
      <c r="D49" s="31">
        <v>2013</v>
      </c>
      <c r="E49" s="31" t="s">
        <v>39</v>
      </c>
      <c r="F49" s="31"/>
      <c r="G49" s="74" t="s">
        <v>464</v>
      </c>
      <c r="H49" s="31" t="s">
        <v>187</v>
      </c>
      <c r="I49" s="31"/>
      <c r="J49" s="31"/>
      <c r="K49" s="180"/>
      <c r="L49" s="114" t="s">
        <v>45</v>
      </c>
      <c r="M49" s="115" t="s">
        <v>52</v>
      </c>
      <c r="N49" s="116"/>
      <c r="O49" s="142">
        <f>1825+425</f>
        <v>2250</v>
      </c>
      <c r="P49" s="142">
        <v>102507</v>
      </c>
      <c r="Q49" s="142">
        <v>68451</v>
      </c>
      <c r="R49" s="142">
        <f>P49/AD49</f>
        <v>11389.666666666666</v>
      </c>
      <c r="S49" s="142">
        <f>P49/O49</f>
        <v>45.558666666666667</v>
      </c>
      <c r="T49" s="148">
        <f>Q49/O49</f>
        <v>30.422666666666668</v>
      </c>
      <c r="U49" s="148">
        <f>Q49/AK49</f>
        <v>97.255018967648425</v>
      </c>
      <c r="V49" s="148">
        <f>Q49/AD49</f>
        <v>7605.666666666667</v>
      </c>
      <c r="W49" s="142">
        <f>O49/AD49</f>
        <v>250</v>
      </c>
      <c r="X49" s="143"/>
      <c r="Y49" s="522">
        <f>10000*AD49/O49</f>
        <v>40</v>
      </c>
      <c r="Z49" s="143" t="s">
        <v>163</v>
      </c>
      <c r="AA49" s="143"/>
      <c r="AB49" s="144"/>
      <c r="AC49" s="31" t="s">
        <v>10</v>
      </c>
      <c r="AD49" s="493">
        <f t="shared" si="131"/>
        <v>9</v>
      </c>
      <c r="AE49" s="493">
        <f>AD49-AI49</f>
        <v>9</v>
      </c>
      <c r="AF49" s="42"/>
      <c r="AG49" s="31">
        <v>9</v>
      </c>
      <c r="AH49" s="42"/>
      <c r="AI49" s="42"/>
      <c r="AJ49" s="796">
        <v>701.11</v>
      </c>
      <c r="AK49" s="276">
        <v>703.83</v>
      </c>
      <c r="AL49" s="586">
        <f t="shared" si="133"/>
        <v>77.901111111111106</v>
      </c>
      <c r="AM49" s="35">
        <f t="shared" si="134"/>
        <v>78.203333333333333</v>
      </c>
      <c r="AN49" s="35">
        <v>5.22</v>
      </c>
      <c r="AO49" s="35">
        <v>5.2</v>
      </c>
      <c r="AP49" s="35">
        <v>406.33</v>
      </c>
      <c r="AQ49" s="53">
        <v>0</v>
      </c>
      <c r="AR49" s="53">
        <v>0</v>
      </c>
      <c r="AS49" s="53">
        <f>4/AD49</f>
        <v>0.44444444444444442</v>
      </c>
      <c r="AT49" s="53">
        <f>4/AD49</f>
        <v>0.44444444444444442</v>
      </c>
      <c r="AU49" s="53">
        <f>1/AD49</f>
        <v>0.1111111111111111</v>
      </c>
      <c r="AV49" s="35"/>
      <c r="AW49" s="51" t="s">
        <v>235</v>
      </c>
      <c r="AX49" s="53" t="e">
        <f>AW49/O49</f>
        <v>#VALUE!</v>
      </c>
      <c r="AY49" s="35">
        <v>2</v>
      </c>
      <c r="AZ49" s="34" t="s">
        <v>398</v>
      </c>
      <c r="BA49" s="31" t="s">
        <v>99</v>
      </c>
      <c r="BB49" s="31"/>
      <c r="BC49" s="31"/>
      <c r="BD49" s="31"/>
      <c r="BE49" s="31"/>
      <c r="BF49" s="31"/>
      <c r="BG49" s="31"/>
      <c r="BH49" s="126">
        <v>40963</v>
      </c>
      <c r="BI49" s="126"/>
      <c r="BJ49" s="660">
        <v>41363</v>
      </c>
      <c r="BK49" s="660">
        <v>41486</v>
      </c>
      <c r="BL49" s="661"/>
      <c r="BM49" s="659">
        <f t="shared" si="135"/>
        <v>4.0999999999999996</v>
      </c>
      <c r="BN49" s="578"/>
      <c r="BO49" s="110">
        <v>41549</v>
      </c>
      <c r="BP49" s="139">
        <v>41576</v>
      </c>
      <c r="BQ49" s="655">
        <f t="shared" si="200"/>
        <v>0.9</v>
      </c>
      <c r="BR49" s="139"/>
      <c r="BS49" s="110">
        <f>DATE(YEAR(BP49),MONTH(BP49)+3,DAY(BP49))</f>
        <v>41668</v>
      </c>
      <c r="BT49" s="110"/>
      <c r="BU49" s="202">
        <v>41671</v>
      </c>
      <c r="BV49" s="201">
        <f>DATE(YEAR(BU49),MONTH(BU49)+24,DAY(BU49))</f>
        <v>42401</v>
      </c>
      <c r="BW49" s="439">
        <f>4652+21135</f>
        <v>25787</v>
      </c>
      <c r="BX49" s="201" t="str">
        <f>IF(EL49&gt;BV49,"oui","non")</f>
        <v>oui</v>
      </c>
      <c r="BY49" s="557">
        <f>(BV49-EL49)/30</f>
        <v>-5.8666666666666663</v>
      </c>
      <c r="BZ49" s="439" t="str">
        <f>IF((BY49*EO49)&lt;0,"0",BY49*EO49)</f>
        <v>0</v>
      </c>
      <c r="CA49" s="439">
        <f>BW49-BZ49</f>
        <v>25787</v>
      </c>
      <c r="CB49" s="81"/>
      <c r="CC49" s="81"/>
      <c r="CD49" s="81"/>
      <c r="CE49" s="326" t="str">
        <f t="shared" si="136"/>
        <v>0</v>
      </c>
      <c r="CF49" s="81"/>
      <c r="CG49" s="81"/>
      <c r="CH49" s="326" t="str">
        <f t="shared" si="137"/>
        <v>0</v>
      </c>
      <c r="CI49" s="81"/>
      <c r="CJ49" s="81"/>
      <c r="CK49" s="326" t="str">
        <f t="shared" si="138"/>
        <v>0</v>
      </c>
      <c r="CL49" s="81"/>
      <c r="CM49" s="81"/>
      <c r="CN49" s="326" t="str">
        <f t="shared" si="139"/>
        <v>0</v>
      </c>
      <c r="CO49" s="83"/>
      <c r="CP49" s="365"/>
      <c r="CQ49" s="326" t="str">
        <f t="shared" si="140"/>
        <v>0</v>
      </c>
      <c r="CR49" s="292"/>
      <c r="CS49" s="159"/>
      <c r="CT49" s="81"/>
      <c r="CU49" s="159"/>
      <c r="CV49" s="326" t="str">
        <f t="shared" si="157"/>
        <v>0</v>
      </c>
      <c r="CW49" s="81"/>
      <c r="CX49" s="236">
        <v>41900</v>
      </c>
      <c r="CY49" s="230">
        <v>2014</v>
      </c>
      <c r="CZ49" s="285">
        <f t="shared" si="141"/>
        <v>13.8</v>
      </c>
      <c r="DA49" s="326" t="str">
        <f>IF(AND(CW49&gt;0,CX49&gt;0),CX49-CW49,"0")</f>
        <v>0</v>
      </c>
      <c r="DB49" s="76">
        <v>13</v>
      </c>
      <c r="DC49" s="76">
        <f>DATEDIF(CX49,EC49,"M")</f>
        <v>17</v>
      </c>
      <c r="DD49" s="214"/>
      <c r="DE49" s="213"/>
      <c r="DF49" s="448" t="str">
        <f>IF(AND(DD49&gt;0,DE49&gt;0),DE49-DD49,"0")</f>
        <v>0</v>
      </c>
      <c r="DG49" s="214"/>
      <c r="DH49" s="395"/>
      <c r="DI49" s="396" t="str">
        <f>IF(AND(DG49&gt;0,DH49&gt;0),DH49-DG49,"0")</f>
        <v>0</v>
      </c>
      <c r="DJ49" s="179"/>
      <c r="DK49" s="395"/>
      <c r="DL49" s="448" t="str">
        <f>IF(AND(DJ49&gt;0,DK49&gt;0),DK49-DJ49,"0")</f>
        <v>0</v>
      </c>
      <c r="DM49" s="213"/>
      <c r="DN49" s="214"/>
      <c r="DO49" s="448" t="str">
        <f>IF(AND(DM49&gt;0,DN49&gt;0),DN49-DM49,"0")</f>
        <v>0</v>
      </c>
      <c r="DP49" s="220"/>
      <c r="DQ49" s="220"/>
      <c r="DR49" s="448" t="str">
        <f>IF(AND(DP49&gt;0,DQ49&gt;0),DQ49-DP49,"0")</f>
        <v>0</v>
      </c>
      <c r="DS49" s="220"/>
      <c r="DT49" s="220"/>
      <c r="DU49" s="448" t="str">
        <f>IF(AND(DS49&gt;0,DT49&gt;0),DT49-DS49,"0")</f>
        <v>0</v>
      </c>
      <c r="DV49" s="214"/>
      <c r="DW49" s="214"/>
      <c r="DX49" s="448" t="str">
        <f>IF(AND(DV49&gt;0,DW49&gt;0),DW49-DV49,"0")</f>
        <v>0</v>
      </c>
      <c r="DY49" s="220"/>
      <c r="DZ49" s="220"/>
      <c r="EA49" s="220"/>
      <c r="EB49" s="293">
        <f>DATE(YEAR(CX49),MONTH(CX49)+DB49,DAY(CX49))</f>
        <v>42295</v>
      </c>
      <c r="EC49" s="236">
        <v>42424</v>
      </c>
      <c r="ED49" s="468">
        <f t="shared" si="142"/>
        <v>4.3</v>
      </c>
      <c r="EE49" s="620"/>
      <c r="EF49" s="403"/>
      <c r="EG49" s="75">
        <v>42566</v>
      </c>
      <c r="EH49" s="75" t="s">
        <v>105</v>
      </c>
      <c r="EI49" s="75">
        <v>42577</v>
      </c>
      <c r="EJ49" s="293"/>
      <c r="EK49" s="533">
        <f t="shared" si="198"/>
        <v>42326</v>
      </c>
      <c r="EL49" s="238">
        <v>42577</v>
      </c>
      <c r="EM49" s="232">
        <v>2016</v>
      </c>
      <c r="EN49" s="465">
        <f>(DATEDIF(EK49,EL49,"d"))/30</f>
        <v>8.3666666666666671</v>
      </c>
      <c r="EO49" s="455">
        <f>45210.5570752773/12</f>
        <v>3767.5464229397749</v>
      </c>
      <c r="EP49" s="213">
        <f t="shared" si="158"/>
        <v>31521.805071929452</v>
      </c>
      <c r="EQ49" s="75"/>
      <c r="ER49" s="349"/>
      <c r="ES49" s="454">
        <f>HC49</f>
        <v>0</v>
      </c>
      <c r="ET49" s="353"/>
      <c r="EU49" s="353"/>
      <c r="EV49" s="353">
        <f>39383.9*1.021</f>
        <v>40210.961899999995</v>
      </c>
      <c r="EW49" s="483">
        <f t="shared" si="159"/>
        <v>2.5876362659390653E-2</v>
      </c>
      <c r="EX49" s="350"/>
      <c r="EY49" s="362" t="s">
        <v>525</v>
      </c>
      <c r="EZ49" s="350"/>
      <c r="FA49" s="350"/>
      <c r="FB49" s="126">
        <f t="shared" si="143"/>
        <v>731</v>
      </c>
      <c r="FC49" s="137" t="s">
        <v>105</v>
      </c>
      <c r="FD49" s="137">
        <v>42620</v>
      </c>
      <c r="FE49" s="137" t="s">
        <v>105</v>
      </c>
      <c r="FF49" s="137" t="s">
        <v>105</v>
      </c>
      <c r="FG49" s="167">
        <v>42768</v>
      </c>
      <c r="FH49" s="73">
        <v>42859</v>
      </c>
      <c r="FI49" s="137">
        <f t="shared" ref="FI49:FI80" si="201">DATE(YEAR(EC49)+1,MONTH(EC49),DAY(EC49))</f>
        <v>42790</v>
      </c>
      <c r="FJ49" s="444">
        <v>12615</v>
      </c>
      <c r="FK49" s="167">
        <v>42621</v>
      </c>
      <c r="FL49" s="167">
        <v>42688</v>
      </c>
      <c r="FM49" s="167"/>
      <c r="FN49" s="31"/>
      <c r="FO49" s="126"/>
      <c r="FP49" s="81">
        <v>42878</v>
      </c>
      <c r="FQ49" s="31"/>
      <c r="FR49" s="33" t="s">
        <v>412</v>
      </c>
      <c r="FS49" s="31" t="s">
        <v>295</v>
      </c>
      <c r="FT49" s="161">
        <v>42808</v>
      </c>
      <c r="FU49" s="161" t="s">
        <v>105</v>
      </c>
      <c r="FV49" s="31"/>
      <c r="FW49" s="31"/>
      <c r="FX49" s="388">
        <v>1547410</v>
      </c>
      <c r="FY49" s="652">
        <f t="shared" si="145"/>
        <v>1553965</v>
      </c>
      <c r="FZ49" s="550">
        <f t="shared" si="146"/>
        <v>1553965</v>
      </c>
      <c r="GA49" s="500">
        <f t="shared" si="160"/>
        <v>1553965</v>
      </c>
      <c r="GB49" s="610">
        <f>GM49+GN49+GR49</f>
        <v>225000</v>
      </c>
      <c r="GC49" s="28">
        <f t="shared" si="147"/>
        <v>2207.8697981046557</v>
      </c>
      <c r="GD49" s="28">
        <f t="shared" si="161"/>
        <v>172662.77777777778</v>
      </c>
      <c r="GE49" s="45">
        <v>426409</v>
      </c>
      <c r="GF49" s="417"/>
      <c r="GG49" s="28">
        <f t="shared" si="162"/>
        <v>47378.777777777781</v>
      </c>
      <c r="GH49" s="45">
        <f>+GI49+GJ49</f>
        <v>864010</v>
      </c>
      <c r="GI49" s="59">
        <v>176535</v>
      </c>
      <c r="GJ49" s="59">
        <v>687475</v>
      </c>
      <c r="GK49" s="408">
        <f t="shared" si="163"/>
        <v>96001.111111111109</v>
      </c>
      <c r="GL49" s="45"/>
      <c r="GM49" s="45">
        <v>225000</v>
      </c>
      <c r="GN49" s="45"/>
      <c r="GO49" s="60">
        <f t="shared" si="148"/>
        <v>0.14479090584408272</v>
      </c>
      <c r="GP49" s="576">
        <v>38546</v>
      </c>
      <c r="GQ49" s="576"/>
      <c r="GR49" s="45">
        <v>0</v>
      </c>
      <c r="GS49" s="28">
        <f>GM49/AD49</f>
        <v>25000</v>
      </c>
      <c r="GT49" s="28">
        <f>(GE49+GM49)/AD49</f>
        <v>72378.777777777781</v>
      </c>
      <c r="GU49" s="682">
        <v>270120.19565000001</v>
      </c>
      <c r="GV49" s="682">
        <v>180000</v>
      </c>
      <c r="GW49" s="680" t="e">
        <f>(#REF!+#REF!+GV49)/AD49</f>
        <v>#REF!</v>
      </c>
      <c r="GX49" s="682">
        <v>0</v>
      </c>
      <c r="GY49" s="682">
        <f>(GE49+GM49+GV49+GX49)/AD49</f>
        <v>92378.777777777781</v>
      </c>
      <c r="GZ49" s="681">
        <f>(GE49+GM49+GV49+GX49)/(GU49+FZ49-HA49)</f>
        <v>0.47363006816549857</v>
      </c>
      <c r="HA49" s="682">
        <v>68687.774999999994</v>
      </c>
      <c r="HB49" s="791"/>
      <c r="HC49" s="45"/>
      <c r="HD49" s="602"/>
      <c r="HE49" s="608">
        <f>HD49/FZ49</f>
        <v>0</v>
      </c>
      <c r="HF49" s="616">
        <f>FZ49-HD49</f>
        <v>1553965</v>
      </c>
      <c r="HG49" s="602">
        <f ca="1">IF(EE49&lt;DATEDIF(TODAY(),$HG$1,"M"),HF49,(HF49/EE49*DATEDIF(TODAY(),$HG$1,"M")))</f>
        <v>1553965</v>
      </c>
      <c r="HH49" s="602"/>
      <c r="HI49" s="602"/>
      <c r="HJ49" s="602">
        <f>GB49-HI49</f>
        <v>225000</v>
      </c>
      <c r="HK49" s="609">
        <f>HI49/GB49</f>
        <v>0</v>
      </c>
      <c r="HL49" s="609"/>
      <c r="HM49" s="673"/>
      <c r="HN49" s="62"/>
      <c r="HO49" s="673"/>
      <c r="HP49" s="673">
        <f>HQ49+HR49+HS49+HT49+HU49</f>
        <v>0</v>
      </c>
      <c r="HQ49" s="539"/>
      <c r="HR49" s="539"/>
      <c r="HS49" s="539"/>
      <c r="HT49" s="539"/>
      <c r="HU49" s="539"/>
      <c r="HV49" s="673"/>
      <c r="HW49" s="673">
        <f t="shared" si="199"/>
        <v>0</v>
      </c>
      <c r="HX49" s="539"/>
    </row>
    <row r="50" spans="1:232" ht="60" customHeight="1">
      <c r="A50" s="510" t="s">
        <v>854</v>
      </c>
      <c r="B50" s="31" t="s">
        <v>14</v>
      </c>
      <c r="C50" s="31" t="s">
        <v>90</v>
      </c>
      <c r="D50" s="31">
        <v>2022</v>
      </c>
      <c r="E50" s="31"/>
      <c r="F50" s="31"/>
      <c r="G50" s="31"/>
      <c r="H50" s="33"/>
      <c r="I50" s="31"/>
      <c r="J50" s="31"/>
      <c r="K50" s="180"/>
      <c r="L50" s="114"/>
      <c r="M50" s="115"/>
      <c r="N50" s="116"/>
      <c r="O50" s="142"/>
      <c r="P50" s="142"/>
      <c r="Q50" s="142"/>
      <c r="R50" s="142"/>
      <c r="S50" s="142"/>
      <c r="T50" s="148"/>
      <c r="U50" s="148"/>
      <c r="V50" s="148"/>
      <c r="W50" s="142"/>
      <c r="X50" s="143"/>
      <c r="Y50" s="525"/>
      <c r="Z50" s="143"/>
      <c r="AA50" s="143"/>
      <c r="AB50" s="144"/>
      <c r="AC50" s="31" t="s">
        <v>308</v>
      </c>
      <c r="AD50" s="493">
        <f t="shared" si="131"/>
        <v>44</v>
      </c>
      <c r="AE50" s="493"/>
      <c r="AF50" s="42"/>
      <c r="AG50" s="42"/>
      <c r="AH50" s="42"/>
      <c r="AI50" s="31">
        <v>44</v>
      </c>
      <c r="AJ50" s="797"/>
      <c r="AK50" s="278"/>
      <c r="AL50" s="586">
        <f t="shared" si="133"/>
        <v>0</v>
      </c>
      <c r="AM50" s="8">
        <f t="shared" si="134"/>
        <v>0</v>
      </c>
      <c r="AN50" s="35"/>
      <c r="AO50" s="35"/>
      <c r="AP50" s="35"/>
      <c r="AQ50" s="53"/>
      <c r="AR50" s="53"/>
      <c r="AS50" s="53"/>
      <c r="AT50" s="53"/>
      <c r="AU50" s="53"/>
      <c r="AV50" s="35"/>
      <c r="AW50" s="51"/>
      <c r="AX50" s="53"/>
      <c r="AY50" s="35"/>
      <c r="AZ50" s="34"/>
      <c r="BA50" s="31"/>
      <c r="BB50" s="31"/>
      <c r="BC50" s="31"/>
      <c r="BD50" s="31"/>
      <c r="BE50" s="31"/>
      <c r="BF50" s="165"/>
      <c r="BG50" s="165"/>
      <c r="BH50" s="126"/>
      <c r="BI50" s="126"/>
      <c r="BJ50" s="660"/>
      <c r="BK50" s="660"/>
      <c r="BL50" s="661"/>
      <c r="BM50" s="659">
        <f t="shared" si="135"/>
        <v>0</v>
      </c>
      <c r="BN50" s="578"/>
      <c r="BO50" s="109"/>
      <c r="BP50" s="138"/>
      <c r="BQ50" s="654">
        <f t="shared" si="200"/>
        <v>0</v>
      </c>
      <c r="BR50" s="638"/>
      <c r="BS50" s="110"/>
      <c r="BT50" s="110"/>
      <c r="BU50" s="202"/>
      <c r="BV50" s="201"/>
      <c r="BW50" s="439"/>
      <c r="BX50" s="201"/>
      <c r="BY50" s="557"/>
      <c r="BZ50" s="439"/>
      <c r="CA50" s="439"/>
      <c r="CB50" s="339"/>
      <c r="CC50" s="341"/>
      <c r="CD50" s="341"/>
      <c r="CE50" s="343" t="str">
        <f t="shared" si="136"/>
        <v>0</v>
      </c>
      <c r="CF50" s="341"/>
      <c r="CG50" s="341"/>
      <c r="CH50" s="343" t="str">
        <f t="shared" si="137"/>
        <v>0</v>
      </c>
      <c r="CI50" s="341"/>
      <c r="CJ50" s="341"/>
      <c r="CK50" s="343" t="str">
        <f t="shared" si="138"/>
        <v>0</v>
      </c>
      <c r="CL50" s="341"/>
      <c r="CM50" s="341"/>
      <c r="CN50" s="343" t="str">
        <f t="shared" si="139"/>
        <v>0</v>
      </c>
      <c r="CO50" s="341"/>
      <c r="CP50" s="341"/>
      <c r="CQ50" s="343" t="str">
        <f t="shared" si="140"/>
        <v>0</v>
      </c>
      <c r="CR50" s="290"/>
      <c r="CS50" s="345"/>
      <c r="CT50" s="330"/>
      <c r="CU50" s="331"/>
      <c r="CV50" s="332" t="str">
        <f t="shared" si="157"/>
        <v>0</v>
      </c>
      <c r="CW50" s="330"/>
      <c r="CX50" s="449">
        <v>45131</v>
      </c>
      <c r="CY50" s="233"/>
      <c r="CZ50" s="284">
        <f t="shared" si="141"/>
        <v>1504.3666666666666</v>
      </c>
      <c r="DA50" s="332"/>
      <c r="DB50" s="450"/>
      <c r="DC50" s="169"/>
      <c r="DD50" s="330"/>
      <c r="DE50" s="335"/>
      <c r="DF50" s="332"/>
      <c r="DG50" s="330"/>
      <c r="DH50" s="335"/>
      <c r="DI50" s="333"/>
      <c r="DJ50" s="334"/>
      <c r="DK50" s="348"/>
      <c r="DL50" s="332"/>
      <c r="DM50" s="335"/>
      <c r="DN50" s="335"/>
      <c r="DO50" s="332"/>
      <c r="DP50" s="336"/>
      <c r="DQ50" s="336"/>
      <c r="DR50" s="332"/>
      <c r="DS50" s="335"/>
      <c r="DT50" s="335"/>
      <c r="DU50" s="332"/>
      <c r="DV50" s="335"/>
      <c r="DW50" s="335"/>
      <c r="DX50" s="332"/>
      <c r="DY50" s="335"/>
      <c r="DZ50" s="335"/>
      <c r="EA50" s="335"/>
      <c r="EB50" s="477"/>
      <c r="EC50" s="476"/>
      <c r="ED50" s="473">
        <f t="shared" si="142"/>
        <v>0</v>
      </c>
      <c r="EE50" s="622">
        <f ca="1">IF(((EC50-TODAY())/30)&lt;0,0,(EC50-TODAY())/30)</f>
        <v>0</v>
      </c>
      <c r="EF50" s="475">
        <f>DATE(YEAR(DH50)+2,MONTH(DH50),DAY(DH50))</f>
        <v>731</v>
      </c>
      <c r="EG50" s="526"/>
      <c r="EH50" s="526"/>
      <c r="EI50" s="526">
        <f>DATE(YEAR(EC50),MONTH(EC50)+4,DAY(EC50)+2)</f>
        <v>123</v>
      </c>
      <c r="EJ50" s="295"/>
      <c r="EK50" s="534">
        <f t="shared" si="198"/>
        <v>31</v>
      </c>
      <c r="EL50" s="476">
        <f>DATE(YEAR(EC50),MONTH(EC50)+1,DAY(EC50))</f>
        <v>31</v>
      </c>
      <c r="EM50" s="368"/>
      <c r="EN50" s="471">
        <f>(EL50-EK50)/30</f>
        <v>0</v>
      </c>
      <c r="EO50" s="457"/>
      <c r="EP50" s="173">
        <f t="shared" si="158"/>
        <v>0</v>
      </c>
      <c r="EQ50" s="77"/>
      <c r="ER50" s="353"/>
      <c r="ES50" s="353"/>
      <c r="ET50" s="353"/>
      <c r="EU50" s="353"/>
      <c r="EV50" s="353"/>
      <c r="EW50" s="483" t="e">
        <f t="shared" si="159"/>
        <v>#DIV/0!</v>
      </c>
      <c r="EX50" s="350"/>
      <c r="EY50" s="362"/>
      <c r="EZ50" s="350"/>
      <c r="FA50" s="350"/>
      <c r="FB50" s="126">
        <f t="shared" si="143"/>
        <v>731</v>
      </c>
      <c r="FC50" s="80"/>
      <c r="FD50" s="80"/>
      <c r="FE50" s="80"/>
      <c r="FF50" s="80"/>
      <c r="FG50" s="80"/>
      <c r="FH50" s="31"/>
      <c r="FI50" s="194">
        <f t="shared" si="201"/>
        <v>366</v>
      </c>
      <c r="FJ50" s="194"/>
      <c r="FK50" s="31"/>
      <c r="FL50" s="31"/>
      <c r="FM50" s="31"/>
      <c r="FN50" s="31"/>
      <c r="FO50" s="31"/>
      <c r="FP50" s="31"/>
      <c r="FQ50" s="31"/>
      <c r="FR50" s="31"/>
      <c r="FS50" s="31"/>
      <c r="FT50" s="31"/>
      <c r="FU50" s="31"/>
      <c r="FV50" s="31"/>
      <c r="FW50" s="31"/>
      <c r="FX50" s="529"/>
      <c r="FY50" s="652">
        <f t="shared" si="145"/>
        <v>0</v>
      </c>
      <c r="FZ50" s="550">
        <f t="shared" si="146"/>
        <v>0</v>
      </c>
      <c r="GA50" s="45">
        <f t="shared" si="160"/>
        <v>0</v>
      </c>
      <c r="GB50" s="602">
        <f>GM50+GN50+GR50+GV50</f>
        <v>0</v>
      </c>
      <c r="GC50" s="28" t="e">
        <f t="shared" si="147"/>
        <v>#DIV/0!</v>
      </c>
      <c r="GD50" s="28">
        <f t="shared" si="161"/>
        <v>0</v>
      </c>
      <c r="GE50" s="9"/>
      <c r="GF50" s="417"/>
      <c r="GG50" s="16">
        <f t="shared" si="162"/>
        <v>0</v>
      </c>
      <c r="GH50" s="9">
        <f>GI50+GJ50</f>
        <v>0</v>
      </c>
      <c r="GI50" s="10"/>
      <c r="GJ50" s="10"/>
      <c r="GK50" s="407">
        <f t="shared" si="163"/>
        <v>0</v>
      </c>
      <c r="GL50" s="45"/>
      <c r="GM50" s="9"/>
      <c r="GN50" s="45"/>
      <c r="GO50" s="23" t="e">
        <f t="shared" si="148"/>
        <v>#DIV/0!</v>
      </c>
      <c r="GP50" s="45"/>
      <c r="GQ50" s="45"/>
      <c r="GR50" s="9"/>
      <c r="GS50" s="28"/>
      <c r="GT50" s="28"/>
      <c r="GU50" s="680"/>
      <c r="GV50" s="680"/>
      <c r="GW50" s="680"/>
      <c r="GX50" s="680"/>
      <c r="GY50" s="680"/>
      <c r="GZ50" s="681"/>
      <c r="HA50" s="680"/>
      <c r="HB50" s="680"/>
      <c r="HC50" s="9"/>
      <c r="HD50" s="602"/>
      <c r="HE50" s="608"/>
      <c r="HF50" s="602"/>
      <c r="HG50" s="602"/>
      <c r="HH50" s="608"/>
      <c r="HI50" s="602"/>
      <c r="HJ50" s="602"/>
      <c r="HK50" s="602"/>
      <c r="HL50" s="602"/>
      <c r="HM50" s="673"/>
      <c r="HN50" s="62"/>
      <c r="HO50" s="673"/>
      <c r="HP50" s="673"/>
      <c r="HQ50" s="539"/>
      <c r="HR50" s="539"/>
      <c r="HS50" s="539"/>
      <c r="HT50" s="539"/>
      <c r="HU50" s="539"/>
      <c r="HV50" s="673"/>
      <c r="HW50" s="673">
        <f t="shared" si="199"/>
        <v>0</v>
      </c>
      <c r="HX50" s="539"/>
    </row>
    <row r="51" spans="1:232" ht="57.75" hidden="1" customHeight="1">
      <c r="A51" s="426" t="s">
        <v>37</v>
      </c>
      <c r="B51" s="31" t="s">
        <v>14</v>
      </c>
      <c r="C51" s="31" t="s">
        <v>90</v>
      </c>
      <c r="D51" s="31">
        <v>2013</v>
      </c>
      <c r="E51" s="31" t="s">
        <v>38</v>
      </c>
      <c r="F51" s="31" t="s">
        <v>16</v>
      </c>
      <c r="G51" s="74" t="s">
        <v>606</v>
      </c>
      <c r="H51" s="31" t="s">
        <v>187</v>
      </c>
      <c r="I51" s="31"/>
      <c r="J51" s="31"/>
      <c r="K51" s="180"/>
      <c r="L51" s="114" t="s">
        <v>49</v>
      </c>
      <c r="M51" s="115" t="s">
        <v>50</v>
      </c>
      <c r="N51" s="116"/>
      <c r="O51" s="142">
        <f>4015+535</f>
        <v>4550</v>
      </c>
      <c r="P51" s="142">
        <v>298500</v>
      </c>
      <c r="Q51" s="142">
        <v>122015</v>
      </c>
      <c r="R51" s="142">
        <f>P51/15</f>
        <v>19900</v>
      </c>
      <c r="S51" s="142">
        <f>P51/O51</f>
        <v>65.604395604395606</v>
      </c>
      <c r="T51" s="148">
        <f>Q51/O51</f>
        <v>26.816483516483515</v>
      </c>
      <c r="U51" s="148">
        <f>Q51/AK51</f>
        <v>103.36575117331121</v>
      </c>
      <c r="V51" s="148">
        <f>Q51/AD51</f>
        <v>8134.333333333333</v>
      </c>
      <c r="W51" s="142">
        <f>O51/AD51</f>
        <v>303.33333333333331</v>
      </c>
      <c r="X51" s="143"/>
      <c r="Y51" s="522">
        <f>10000*AD51/O51</f>
        <v>32.967032967032964</v>
      </c>
      <c r="Z51" s="143" t="s">
        <v>152</v>
      </c>
      <c r="AA51" s="143">
        <v>600</v>
      </c>
      <c r="AB51" s="144"/>
      <c r="AC51" s="31" t="s">
        <v>10</v>
      </c>
      <c r="AD51" s="493">
        <f t="shared" si="131"/>
        <v>15</v>
      </c>
      <c r="AE51" s="493">
        <f>AD51-AI51</f>
        <v>15</v>
      </c>
      <c r="AF51" s="42"/>
      <c r="AG51" s="31">
        <v>15</v>
      </c>
      <c r="AH51" s="42"/>
      <c r="AI51" s="42"/>
      <c r="AJ51" s="796">
        <v>1162.8599999999999</v>
      </c>
      <c r="AK51" s="278">
        <v>1180.4199999999998</v>
      </c>
      <c r="AL51" s="586">
        <f t="shared" si="133"/>
        <v>77.523999999999987</v>
      </c>
      <c r="AM51" s="8">
        <f t="shared" si="134"/>
        <v>78.694666666666663</v>
      </c>
      <c r="AN51" s="35">
        <v>5.27</v>
      </c>
      <c r="AO51" s="35">
        <v>5.19</v>
      </c>
      <c r="AP51" s="35">
        <v>408.17</v>
      </c>
      <c r="AQ51" s="37"/>
      <c r="AR51" s="53">
        <f>3/AD51</f>
        <v>0.2</v>
      </c>
      <c r="AS51" s="53">
        <f>6/AD51</f>
        <v>0.4</v>
      </c>
      <c r="AT51" s="53">
        <f>5/AD51</f>
        <v>0.33333333333333331</v>
      </c>
      <c r="AU51" s="53">
        <f>1/AD51</f>
        <v>6.6666666666666666E-2</v>
      </c>
      <c r="AV51" s="35"/>
      <c r="AW51" s="51"/>
      <c r="AX51" s="53">
        <f>AW51/O51</f>
        <v>0</v>
      </c>
      <c r="AY51" s="35">
        <v>1.5</v>
      </c>
      <c r="AZ51" s="31" t="s">
        <v>397</v>
      </c>
      <c r="BA51" s="31" t="s">
        <v>99</v>
      </c>
      <c r="BB51" s="31"/>
      <c r="BC51" s="31"/>
      <c r="BD51" s="31"/>
      <c r="BE51" s="31"/>
      <c r="BF51" s="31"/>
      <c r="BG51" s="31"/>
      <c r="BH51" s="126">
        <v>40963</v>
      </c>
      <c r="BI51" s="126"/>
      <c r="BJ51" s="660">
        <v>41363</v>
      </c>
      <c r="BK51" s="660">
        <v>41596</v>
      </c>
      <c r="BL51" s="662"/>
      <c r="BM51" s="659">
        <f t="shared" si="135"/>
        <v>7.7666666666666666</v>
      </c>
      <c r="BN51" s="584"/>
      <c r="BO51" s="109">
        <v>41550</v>
      </c>
      <c r="BP51" s="138">
        <v>41576</v>
      </c>
      <c r="BQ51" s="655">
        <f t="shared" si="200"/>
        <v>0.8666666666666667</v>
      </c>
      <c r="BR51" s="139"/>
      <c r="BS51" s="110">
        <f>DATE(YEAR(BO51),MONTH(BO51)+3,DAY(BO51))</f>
        <v>41642</v>
      </c>
      <c r="BT51" s="110" t="s">
        <v>105</v>
      </c>
      <c r="BU51" s="202">
        <v>41671</v>
      </c>
      <c r="BV51" s="201">
        <f>DATE(YEAR(BU51),MONTH(BU51)+24,DAY(BU51))</f>
        <v>42401</v>
      </c>
      <c r="BW51" s="439"/>
      <c r="BX51" s="201" t="str">
        <f>IF(EL51&gt;BV51,"oui","non")</f>
        <v>oui</v>
      </c>
      <c r="BY51" s="557">
        <f>(BV51-EL51)/30</f>
        <v>-13.766666666666667</v>
      </c>
      <c r="BZ51" s="439" t="str">
        <f>IF((BY51*EO51)&lt;0,"0",BY51*EO51)</f>
        <v>0</v>
      </c>
      <c r="CA51" s="439">
        <f>BW51-BZ51</f>
        <v>0</v>
      </c>
      <c r="CB51" s="81"/>
      <c r="CC51" s="81"/>
      <c r="CD51" s="81"/>
      <c r="CE51" s="326" t="str">
        <f t="shared" si="136"/>
        <v>0</v>
      </c>
      <c r="CF51" s="81"/>
      <c r="CG51" s="81"/>
      <c r="CH51" s="326" t="str">
        <f t="shared" si="137"/>
        <v>0</v>
      </c>
      <c r="CI51" s="81"/>
      <c r="CJ51" s="81"/>
      <c r="CK51" s="326" t="str">
        <f t="shared" si="138"/>
        <v>0</v>
      </c>
      <c r="CL51" s="81"/>
      <c r="CM51" s="81"/>
      <c r="CN51" s="326" t="str">
        <f t="shared" si="139"/>
        <v>0</v>
      </c>
      <c r="CO51" s="83"/>
      <c r="CP51" s="365"/>
      <c r="CQ51" s="326" t="str">
        <f t="shared" si="140"/>
        <v>0</v>
      </c>
      <c r="CR51" s="292"/>
      <c r="CS51" s="159"/>
      <c r="CT51" s="81"/>
      <c r="CU51" s="159"/>
      <c r="CV51" s="326" t="str">
        <f t="shared" si="157"/>
        <v>0</v>
      </c>
      <c r="CW51" s="81"/>
      <c r="CX51" s="236">
        <v>42341</v>
      </c>
      <c r="CY51" s="231">
        <v>2015</v>
      </c>
      <c r="CZ51" s="287">
        <f t="shared" si="141"/>
        <v>24.833333333333332</v>
      </c>
      <c r="DA51" s="326" t="str">
        <f>IF(AND(CW51&gt;0,CX51&gt;0),CX51-CW51,"0")</f>
        <v>0</v>
      </c>
      <c r="DB51" s="170">
        <v>13</v>
      </c>
      <c r="DC51" s="168">
        <f>DATEDIF(CX51,EC51,"M")</f>
        <v>15</v>
      </c>
      <c r="DD51" s="81"/>
      <c r="DE51" s="159"/>
      <c r="DF51" s="326" t="str">
        <f>IF(AND(DD51&gt;0,DE51&gt;0),DE51-DD51,"0")</f>
        <v>0</v>
      </c>
      <c r="DG51" s="81"/>
      <c r="DH51" s="363"/>
      <c r="DI51" s="329" t="str">
        <f>IF(AND(DG51&gt;0,DH51&gt;0),DH51-DG51,"0")</f>
        <v>0</v>
      </c>
      <c r="DJ51" s="83"/>
      <c r="DK51" s="395"/>
      <c r="DL51" s="326" t="str">
        <f>IF(AND(DJ51&gt;0,DK51&gt;0),DK51-DJ51,"0")</f>
        <v>0</v>
      </c>
      <c r="DM51" s="159"/>
      <c r="DN51" s="81"/>
      <c r="DO51" s="326" t="str">
        <f>IF(AND(DM51&gt;0,DN51&gt;0),DN51-DM51,"0")</f>
        <v>0</v>
      </c>
      <c r="DP51" s="74"/>
      <c r="DQ51" s="74"/>
      <c r="DR51" s="326" t="str">
        <f>IF(AND(DP51&gt;0,DQ51&gt;0),DQ51-DP51,"0")</f>
        <v>0</v>
      </c>
      <c r="DS51" s="74"/>
      <c r="DT51" s="74"/>
      <c r="DU51" s="326" t="str">
        <f>IF(AND(DS51&gt;0,DT51&gt;0),DT51-DS51,"0")</f>
        <v>0</v>
      </c>
      <c r="DV51" s="81"/>
      <c r="DW51" s="81"/>
      <c r="DX51" s="326" t="str">
        <f>IF(AND(DV51&gt;0,DW51&gt;0),DW51-DV51,"0")</f>
        <v>0</v>
      </c>
      <c r="DY51" s="74"/>
      <c r="DZ51" s="74"/>
      <c r="EA51" s="74"/>
      <c r="EB51" s="656">
        <f>DATE(YEAR(CX51),MONTH(CX51)+DB51,DAY(CX51))</f>
        <v>42738</v>
      </c>
      <c r="EC51" s="379">
        <v>42814</v>
      </c>
      <c r="ED51" s="468">
        <f t="shared" si="142"/>
        <v>2.5333333333333332</v>
      </c>
      <c r="EE51" s="620"/>
      <c r="EF51" s="809"/>
      <c r="EG51" s="127">
        <v>42865</v>
      </c>
      <c r="EH51" s="127" t="s">
        <v>297</v>
      </c>
      <c r="EI51" s="127">
        <v>42804</v>
      </c>
      <c r="EJ51" s="478"/>
      <c r="EK51" s="533">
        <f t="shared" si="198"/>
        <v>42769</v>
      </c>
      <c r="EL51" s="384">
        <v>42814</v>
      </c>
      <c r="EM51" s="232">
        <v>2017</v>
      </c>
      <c r="EN51" s="464">
        <f>(DATEDIF(EK51,EL51,"d"))/30</f>
        <v>1.5</v>
      </c>
      <c r="EO51" s="455">
        <f>56856.5334543356/12</f>
        <v>4738.044454527967</v>
      </c>
      <c r="EP51" s="213">
        <f t="shared" si="158"/>
        <v>7107.06668179195</v>
      </c>
      <c r="EQ51" s="127" t="s">
        <v>105</v>
      </c>
      <c r="ER51" s="349"/>
      <c r="ES51" s="454">
        <f>HC51</f>
        <v>0</v>
      </c>
      <c r="ET51" s="353"/>
      <c r="EU51" s="353"/>
      <c r="EV51" s="551">
        <v>0</v>
      </c>
      <c r="EW51" s="483">
        <f t="shared" si="159"/>
        <v>0</v>
      </c>
      <c r="EX51" s="350"/>
      <c r="EY51" s="362" t="s">
        <v>526</v>
      </c>
      <c r="EZ51" s="350"/>
      <c r="FA51" s="350"/>
      <c r="FB51" s="126">
        <f t="shared" si="143"/>
        <v>731</v>
      </c>
      <c r="FC51" s="132" t="s">
        <v>105</v>
      </c>
      <c r="FD51" s="163" t="s">
        <v>105</v>
      </c>
      <c r="FE51" s="80"/>
      <c r="FF51" s="80"/>
      <c r="FG51" s="81">
        <v>43038</v>
      </c>
      <c r="FH51" s="215">
        <v>43223</v>
      </c>
      <c r="FI51" s="214">
        <f t="shared" si="201"/>
        <v>43179</v>
      </c>
      <c r="FJ51" s="443">
        <v>13223</v>
      </c>
      <c r="FK51" s="215">
        <v>42977</v>
      </c>
      <c r="FL51" s="74"/>
      <c r="FM51" s="74"/>
      <c r="FN51" s="74"/>
      <c r="FO51" s="215">
        <v>43125</v>
      </c>
      <c r="FP51" s="215">
        <v>43180</v>
      </c>
      <c r="FQ51" s="31"/>
      <c r="FR51" s="125" t="s">
        <v>870</v>
      </c>
      <c r="FS51" s="31" t="s">
        <v>295</v>
      </c>
      <c r="FT51" s="274" t="s">
        <v>105</v>
      </c>
      <c r="FU51" s="33"/>
      <c r="FV51" s="161" t="s">
        <v>105</v>
      </c>
      <c r="FW51" s="31"/>
      <c r="FX51" s="388">
        <v>2369120</v>
      </c>
      <c r="FY51" s="652">
        <f t="shared" si="145"/>
        <v>2951882</v>
      </c>
      <c r="FZ51" s="550">
        <f t="shared" si="146"/>
        <v>2951882</v>
      </c>
      <c r="GA51" s="500">
        <f t="shared" si="160"/>
        <v>2951882</v>
      </c>
      <c r="GB51" s="610">
        <f>GM51+GN51+GR51</f>
        <v>393831</v>
      </c>
      <c r="GC51" s="28">
        <f t="shared" si="147"/>
        <v>2500.7048338726895</v>
      </c>
      <c r="GD51" s="28">
        <f t="shared" si="161"/>
        <v>196792.13333333333</v>
      </c>
      <c r="GE51" s="9">
        <v>835967</v>
      </c>
      <c r="GF51" s="417"/>
      <c r="GG51" s="16">
        <f t="shared" si="162"/>
        <v>55731.133333333331</v>
      </c>
      <c r="GH51" s="9">
        <f>+GI51+GJ51</f>
        <v>1314229</v>
      </c>
      <c r="GI51" s="59">
        <v>212380</v>
      </c>
      <c r="GJ51" s="10">
        <v>1101849</v>
      </c>
      <c r="GK51" s="407">
        <f t="shared" si="163"/>
        <v>87615.266666666663</v>
      </c>
      <c r="GL51" s="45">
        <v>407855</v>
      </c>
      <c r="GM51" s="9">
        <v>393831</v>
      </c>
      <c r="GN51" s="45"/>
      <c r="GO51" s="23">
        <f t="shared" si="148"/>
        <v>0.1334169184269561</v>
      </c>
      <c r="GP51" s="45"/>
      <c r="GQ51" s="45"/>
      <c r="GR51" s="9">
        <v>0</v>
      </c>
      <c r="GS51" s="28">
        <f>GM51/AD51</f>
        <v>26255.4</v>
      </c>
      <c r="GT51" s="28">
        <f>(GE51+GM51)/AD51</f>
        <v>81986.53333333334</v>
      </c>
      <c r="GU51" s="680">
        <v>753806.75427749997</v>
      </c>
      <c r="GV51" s="680">
        <v>300000</v>
      </c>
      <c r="GW51" s="680" t="e">
        <f>(#REF!+#REF!+GV51)/AD51</f>
        <v>#REF!</v>
      </c>
      <c r="GX51" s="680">
        <v>162750</v>
      </c>
      <c r="GY51" s="680">
        <f>(GE51+GM51+GV51+GX51)/AD51</f>
        <v>112836.53333333334</v>
      </c>
      <c r="GZ51" s="681">
        <f>(GE51+GM51+GV51+GX51)/(GU51+FZ51-HA51)</f>
        <v>0.4726319970267101</v>
      </c>
      <c r="HA51" s="680">
        <v>124577</v>
      </c>
      <c r="HB51" s="683"/>
      <c r="HC51" s="9">
        <v>0</v>
      </c>
      <c r="HD51" s="602"/>
      <c r="HE51" s="608">
        <f>HD51/FZ51</f>
        <v>0</v>
      </c>
      <c r="HF51" s="616">
        <f>FZ51-HD51</f>
        <v>2951882</v>
      </c>
      <c r="HG51" s="602">
        <f ca="1">IF(EE51&lt;DATEDIF(TODAY(),$HG$1,"M"),HF51,(HF51/EE51*DATEDIF(TODAY(),$HG$1,"M")))</f>
        <v>2951882</v>
      </c>
      <c r="HH51" s="602"/>
      <c r="HI51" s="602"/>
      <c r="HJ51" s="602">
        <f>GB51-HI51</f>
        <v>393831</v>
      </c>
      <c r="HK51" s="609">
        <f>HI51/GB51</f>
        <v>0</v>
      </c>
      <c r="HL51" s="609"/>
      <c r="HM51" s="673"/>
      <c r="HN51" s="62"/>
      <c r="HO51" s="673"/>
      <c r="HP51" s="673">
        <f>HQ51+HR51+HS51+HT51+HU51</f>
        <v>0</v>
      </c>
      <c r="HQ51" s="539"/>
      <c r="HR51" s="539"/>
      <c r="HS51" s="539"/>
      <c r="HT51" s="539"/>
      <c r="HU51" s="539"/>
      <c r="HV51" s="673"/>
      <c r="HW51" s="673">
        <f t="shared" si="199"/>
        <v>0</v>
      </c>
      <c r="HX51" s="539"/>
    </row>
    <row r="52" spans="1:232" ht="55.5" customHeight="1">
      <c r="A52" s="510" t="s">
        <v>855</v>
      </c>
      <c r="B52" s="31" t="s">
        <v>14</v>
      </c>
      <c r="C52" s="31" t="s">
        <v>90</v>
      </c>
      <c r="D52" s="31">
        <v>2022</v>
      </c>
      <c r="E52" s="31"/>
      <c r="F52" s="31"/>
      <c r="G52" s="31"/>
      <c r="H52" s="33"/>
      <c r="I52" s="31"/>
      <c r="J52" s="31"/>
      <c r="K52" s="180"/>
      <c r="L52" s="114"/>
      <c r="M52" s="115"/>
      <c r="N52" s="116"/>
      <c r="O52" s="142"/>
      <c r="P52" s="142"/>
      <c r="Q52" s="142"/>
      <c r="R52" s="142"/>
      <c r="S52" s="142"/>
      <c r="T52" s="148"/>
      <c r="U52" s="148"/>
      <c r="V52" s="148"/>
      <c r="W52" s="142"/>
      <c r="X52" s="143"/>
      <c r="Y52" s="525"/>
      <c r="Z52" s="143"/>
      <c r="AA52" s="143"/>
      <c r="AB52" s="144"/>
      <c r="AC52" s="31" t="s">
        <v>308</v>
      </c>
      <c r="AD52" s="493">
        <f t="shared" si="131"/>
        <v>29</v>
      </c>
      <c r="AE52" s="493"/>
      <c r="AF52" s="42"/>
      <c r="AG52" s="42"/>
      <c r="AH52" s="42"/>
      <c r="AI52" s="31">
        <v>29</v>
      </c>
      <c r="AJ52" s="797"/>
      <c r="AK52" s="278"/>
      <c r="AL52" s="586">
        <f t="shared" si="133"/>
        <v>0</v>
      </c>
      <c r="AM52" s="8">
        <f t="shared" si="134"/>
        <v>0</v>
      </c>
      <c r="AN52" s="35"/>
      <c r="AO52" s="35"/>
      <c r="AP52" s="35"/>
      <c r="AQ52" s="53"/>
      <c r="AR52" s="53"/>
      <c r="AS52" s="53"/>
      <c r="AT52" s="53"/>
      <c r="AU52" s="53"/>
      <c r="AV52" s="35"/>
      <c r="AW52" s="51"/>
      <c r="AX52" s="53"/>
      <c r="AY52" s="35"/>
      <c r="AZ52" s="34"/>
      <c r="BA52" s="31"/>
      <c r="BB52" s="31"/>
      <c r="BC52" s="31"/>
      <c r="BD52" s="31"/>
      <c r="BE52" s="31"/>
      <c r="BF52" s="165"/>
      <c r="BG52" s="165"/>
      <c r="BH52" s="126"/>
      <c r="BI52" s="126"/>
      <c r="BJ52" s="660"/>
      <c r="BK52" s="660"/>
      <c r="BL52" s="661"/>
      <c r="BM52" s="659">
        <f t="shared" si="135"/>
        <v>0</v>
      </c>
      <c r="BN52" s="578"/>
      <c r="BO52" s="109"/>
      <c r="BP52" s="138"/>
      <c r="BQ52" s="654">
        <f t="shared" si="200"/>
        <v>0</v>
      </c>
      <c r="BR52" s="638"/>
      <c r="BS52" s="110"/>
      <c r="BT52" s="110"/>
      <c r="BU52" s="202"/>
      <c r="BV52" s="201"/>
      <c r="BW52" s="439"/>
      <c r="BX52" s="201"/>
      <c r="BY52" s="557"/>
      <c r="BZ52" s="439"/>
      <c r="CA52" s="439"/>
      <c r="CB52" s="339"/>
      <c r="CC52" s="341"/>
      <c r="CD52" s="341"/>
      <c r="CE52" s="343" t="str">
        <f t="shared" si="136"/>
        <v>0</v>
      </c>
      <c r="CF52" s="341"/>
      <c r="CG52" s="341"/>
      <c r="CH52" s="343" t="str">
        <f t="shared" si="137"/>
        <v>0</v>
      </c>
      <c r="CI52" s="341"/>
      <c r="CJ52" s="341"/>
      <c r="CK52" s="343" t="str">
        <f t="shared" si="138"/>
        <v>0</v>
      </c>
      <c r="CL52" s="341"/>
      <c r="CM52" s="341"/>
      <c r="CN52" s="343" t="str">
        <f t="shared" si="139"/>
        <v>0</v>
      </c>
      <c r="CO52" s="341"/>
      <c r="CP52" s="341"/>
      <c r="CQ52" s="343" t="str">
        <f t="shared" si="140"/>
        <v>0</v>
      </c>
      <c r="CR52" s="290"/>
      <c r="CS52" s="345"/>
      <c r="CT52" s="330"/>
      <c r="CU52" s="331"/>
      <c r="CV52" s="332" t="str">
        <f t="shared" si="157"/>
        <v>0</v>
      </c>
      <c r="CW52" s="330"/>
      <c r="CX52" s="449">
        <v>45132</v>
      </c>
      <c r="CY52" s="233"/>
      <c r="CZ52" s="284">
        <f t="shared" si="141"/>
        <v>1504.4</v>
      </c>
      <c r="DA52" s="332"/>
      <c r="DB52" s="450"/>
      <c r="DC52" s="169"/>
      <c r="DD52" s="330"/>
      <c r="DE52" s="335"/>
      <c r="DF52" s="332"/>
      <c r="DG52" s="330"/>
      <c r="DH52" s="348"/>
      <c r="DI52" s="333"/>
      <c r="DJ52" s="334"/>
      <c r="DK52" s="348"/>
      <c r="DL52" s="332"/>
      <c r="DM52" s="335"/>
      <c r="DN52" s="335"/>
      <c r="DO52" s="332"/>
      <c r="DP52" s="336"/>
      <c r="DQ52" s="336"/>
      <c r="DR52" s="332"/>
      <c r="DS52" s="335"/>
      <c r="DT52" s="335"/>
      <c r="DU52" s="332"/>
      <c r="DV52" s="335"/>
      <c r="DW52" s="335"/>
      <c r="DX52" s="332"/>
      <c r="DY52" s="335"/>
      <c r="DZ52" s="335"/>
      <c r="EA52" s="335"/>
      <c r="EB52" s="477"/>
      <c r="EC52" s="476"/>
      <c r="ED52" s="473">
        <f t="shared" si="142"/>
        <v>0</v>
      </c>
      <c r="EE52" s="622">
        <f ca="1">IF(((EC52-TODAY())/30)&lt;0,0,(EC52-TODAY())/30)</f>
        <v>0</v>
      </c>
      <c r="EF52" s="736">
        <f t="shared" ref="EF52:EF76" si="202">DATE(YEAR(DH52)+2,MONTH(DH52),DAY(DH52))</f>
        <v>731</v>
      </c>
      <c r="EG52" s="526"/>
      <c r="EH52" s="526"/>
      <c r="EI52" s="526">
        <f t="shared" ref="EI52:EI57" si="203">DATE(YEAR(EC52),MONTH(EC52)+4,DAY(EC52)+2)</f>
        <v>123</v>
      </c>
      <c r="EJ52" s="295"/>
      <c r="EK52" s="534">
        <f t="shared" si="198"/>
        <v>31</v>
      </c>
      <c r="EL52" s="476">
        <f>DATE(YEAR(EC52),MONTH(EC52)+1,DAY(EC52))</f>
        <v>31</v>
      </c>
      <c r="EM52" s="368"/>
      <c r="EN52" s="471">
        <f>(EL52-EK52)/30</f>
        <v>0</v>
      </c>
      <c r="EO52" s="457"/>
      <c r="EP52" s="173">
        <f t="shared" si="158"/>
        <v>0</v>
      </c>
      <c r="EQ52" s="77"/>
      <c r="ER52" s="353"/>
      <c r="ES52" s="353"/>
      <c r="ET52" s="353"/>
      <c r="EU52" s="353"/>
      <c r="EV52" s="353"/>
      <c r="EW52" s="483" t="e">
        <f t="shared" si="159"/>
        <v>#DIV/0!</v>
      </c>
      <c r="EX52" s="350"/>
      <c r="EY52" s="362"/>
      <c r="EZ52" s="350"/>
      <c r="FA52" s="350"/>
      <c r="FB52" s="126">
        <f t="shared" si="143"/>
        <v>731</v>
      </c>
      <c r="FC52" s="80"/>
      <c r="FD52" s="80"/>
      <c r="FE52" s="80"/>
      <c r="FF52" s="80"/>
      <c r="FG52" s="80"/>
      <c r="FH52" s="31"/>
      <c r="FI52" s="194">
        <f t="shared" si="201"/>
        <v>366</v>
      </c>
      <c r="FJ52" s="194"/>
      <c r="FK52" s="31"/>
      <c r="FL52" s="31"/>
      <c r="FM52" s="31"/>
      <c r="FN52" s="31"/>
      <c r="FO52" s="31"/>
      <c r="FP52" s="31"/>
      <c r="FQ52" s="31"/>
      <c r="FR52" s="31"/>
      <c r="FS52" s="31"/>
      <c r="FT52" s="31"/>
      <c r="FU52" s="31"/>
      <c r="FV52" s="31"/>
      <c r="FW52" s="31"/>
      <c r="FX52" s="529"/>
      <c r="FY52" s="652">
        <f t="shared" si="145"/>
        <v>0</v>
      </c>
      <c r="FZ52" s="550">
        <f t="shared" si="146"/>
        <v>0</v>
      </c>
      <c r="GA52" s="45">
        <f t="shared" si="160"/>
        <v>0</v>
      </c>
      <c r="GB52" s="602">
        <f t="shared" ref="GB52:GB57" si="204">GM52+GN52+GR52+GV52</f>
        <v>0</v>
      </c>
      <c r="GC52" s="28" t="e">
        <f t="shared" si="147"/>
        <v>#DIV/0!</v>
      </c>
      <c r="GD52" s="28">
        <f t="shared" si="161"/>
        <v>0</v>
      </c>
      <c r="GE52" s="9"/>
      <c r="GF52" s="417"/>
      <c r="GG52" s="16">
        <f t="shared" si="162"/>
        <v>0</v>
      </c>
      <c r="GH52" s="9">
        <f t="shared" ref="GH52:GH57" si="205">GI52+GJ52</f>
        <v>0</v>
      </c>
      <c r="GI52" s="59"/>
      <c r="GJ52" s="10"/>
      <c r="GK52" s="407">
        <f t="shared" si="163"/>
        <v>0</v>
      </c>
      <c r="GL52" s="45"/>
      <c r="GM52" s="9"/>
      <c r="GN52" s="45"/>
      <c r="GO52" s="23" t="e">
        <f t="shared" si="148"/>
        <v>#DIV/0!</v>
      </c>
      <c r="GP52" s="45"/>
      <c r="GQ52" s="45"/>
      <c r="GR52" s="45"/>
      <c r="GS52" s="28"/>
      <c r="GT52" s="28"/>
      <c r="GU52" s="680"/>
      <c r="GV52" s="680"/>
      <c r="GW52" s="680"/>
      <c r="GX52" s="680"/>
      <c r="GY52" s="680"/>
      <c r="GZ52" s="681"/>
      <c r="HA52" s="680"/>
      <c r="HB52" s="680"/>
      <c r="HC52" s="9"/>
      <c r="HD52" s="602"/>
      <c r="HE52" s="608"/>
      <c r="HF52" s="602"/>
      <c r="HG52" s="602"/>
      <c r="HH52" s="608"/>
      <c r="HI52" s="602"/>
      <c r="HJ52" s="602"/>
      <c r="HK52" s="602"/>
      <c r="HL52" s="602"/>
      <c r="HM52" s="673"/>
      <c r="HN52" s="62"/>
      <c r="HO52" s="673"/>
      <c r="HP52" s="673"/>
      <c r="HQ52" s="539"/>
      <c r="HR52" s="539"/>
      <c r="HS52" s="539"/>
      <c r="HT52" s="539"/>
      <c r="HU52" s="539"/>
      <c r="HV52" s="673"/>
      <c r="HW52" s="673">
        <f t="shared" si="199"/>
        <v>0</v>
      </c>
      <c r="HX52" s="539"/>
    </row>
    <row r="53" spans="1:232" ht="35.25" customHeight="1">
      <c r="A53" s="510" t="s">
        <v>856</v>
      </c>
      <c r="B53" s="31" t="s">
        <v>21</v>
      </c>
      <c r="C53" s="31" t="s">
        <v>90</v>
      </c>
      <c r="D53" s="31">
        <v>2022</v>
      </c>
      <c r="E53" s="31"/>
      <c r="F53" s="31"/>
      <c r="G53" s="31"/>
      <c r="H53" s="33"/>
      <c r="I53" s="31"/>
      <c r="J53" s="31"/>
      <c r="K53" s="180"/>
      <c r="L53" s="114"/>
      <c r="M53" s="115"/>
      <c r="N53" s="116"/>
      <c r="O53" s="142"/>
      <c r="P53" s="142"/>
      <c r="Q53" s="142"/>
      <c r="R53" s="142"/>
      <c r="S53" s="142"/>
      <c r="T53" s="148"/>
      <c r="U53" s="148"/>
      <c r="V53" s="148"/>
      <c r="W53" s="142"/>
      <c r="X53" s="143"/>
      <c r="Y53" s="525"/>
      <c r="Z53" s="143"/>
      <c r="AA53" s="143"/>
      <c r="AB53" s="144"/>
      <c r="AC53" s="31" t="s">
        <v>308</v>
      </c>
      <c r="AD53" s="493">
        <f t="shared" si="131"/>
        <v>22</v>
      </c>
      <c r="AE53" s="493"/>
      <c r="AF53" s="42"/>
      <c r="AG53" s="42"/>
      <c r="AH53" s="42"/>
      <c r="AI53" s="31">
        <v>22</v>
      </c>
      <c r="AJ53" s="797"/>
      <c r="AK53" s="278"/>
      <c r="AL53" s="586">
        <f t="shared" si="133"/>
        <v>0</v>
      </c>
      <c r="AM53" s="8">
        <f t="shared" si="134"/>
        <v>0</v>
      </c>
      <c r="AN53" s="35"/>
      <c r="AO53" s="35"/>
      <c r="AP53" s="35"/>
      <c r="AQ53" s="53"/>
      <c r="AR53" s="53"/>
      <c r="AS53" s="53"/>
      <c r="AT53" s="53"/>
      <c r="AU53" s="53"/>
      <c r="AV53" s="35"/>
      <c r="AW53" s="51"/>
      <c r="AX53" s="53"/>
      <c r="AY53" s="35"/>
      <c r="AZ53" s="34"/>
      <c r="BA53" s="31"/>
      <c r="BB53" s="31"/>
      <c r="BC53" s="31"/>
      <c r="BD53" s="31"/>
      <c r="BE53" s="31"/>
      <c r="BF53" s="165"/>
      <c r="BG53" s="165"/>
      <c r="BH53" s="126"/>
      <c r="BI53" s="126"/>
      <c r="BJ53" s="660"/>
      <c r="BK53" s="660"/>
      <c r="BL53" s="661"/>
      <c r="BM53" s="659">
        <f t="shared" si="135"/>
        <v>0</v>
      </c>
      <c r="BN53" s="578"/>
      <c r="BO53" s="109"/>
      <c r="BP53" s="138"/>
      <c r="BQ53" s="654">
        <f t="shared" si="200"/>
        <v>0</v>
      </c>
      <c r="BR53" s="638"/>
      <c r="BS53" s="110"/>
      <c r="BT53" s="110"/>
      <c r="BU53" s="202"/>
      <c r="BV53" s="201"/>
      <c r="BW53" s="439"/>
      <c r="BX53" s="201"/>
      <c r="BY53" s="557"/>
      <c r="BZ53" s="439"/>
      <c r="CA53" s="439"/>
      <c r="CB53" s="339"/>
      <c r="CC53" s="341"/>
      <c r="CD53" s="341"/>
      <c r="CE53" s="343" t="str">
        <f t="shared" si="136"/>
        <v>0</v>
      </c>
      <c r="CF53" s="341"/>
      <c r="CG53" s="341"/>
      <c r="CH53" s="343" t="str">
        <f t="shared" si="137"/>
        <v>0</v>
      </c>
      <c r="CI53" s="341"/>
      <c r="CJ53" s="341"/>
      <c r="CK53" s="343" t="str">
        <f t="shared" si="138"/>
        <v>0</v>
      </c>
      <c r="CL53" s="341"/>
      <c r="CM53" s="341"/>
      <c r="CN53" s="343" t="str">
        <f t="shared" si="139"/>
        <v>0</v>
      </c>
      <c r="CO53" s="341"/>
      <c r="CP53" s="341"/>
      <c r="CQ53" s="343" t="str">
        <f t="shared" si="140"/>
        <v>0</v>
      </c>
      <c r="CR53" s="290"/>
      <c r="CS53" s="345"/>
      <c r="CT53" s="330"/>
      <c r="CU53" s="331"/>
      <c r="CV53" s="332" t="str">
        <f t="shared" si="157"/>
        <v>0</v>
      </c>
      <c r="CW53" s="330"/>
      <c r="CX53" s="449">
        <v>45133</v>
      </c>
      <c r="CY53" s="233"/>
      <c r="CZ53" s="284">
        <f t="shared" si="141"/>
        <v>1504.4333333333334</v>
      </c>
      <c r="DA53" s="332"/>
      <c r="DB53" s="450"/>
      <c r="DC53" s="169"/>
      <c r="DD53" s="330"/>
      <c r="DE53" s="335"/>
      <c r="DF53" s="332"/>
      <c r="DG53" s="330"/>
      <c r="DH53" s="348"/>
      <c r="DI53" s="333"/>
      <c r="DJ53" s="334"/>
      <c r="DK53" s="348"/>
      <c r="DL53" s="332"/>
      <c r="DM53" s="335"/>
      <c r="DN53" s="335"/>
      <c r="DO53" s="332"/>
      <c r="DP53" s="336"/>
      <c r="DQ53" s="336"/>
      <c r="DR53" s="332"/>
      <c r="DS53" s="335"/>
      <c r="DT53" s="335"/>
      <c r="DU53" s="332"/>
      <c r="DV53" s="335"/>
      <c r="DW53" s="335"/>
      <c r="DX53" s="332"/>
      <c r="DY53" s="335"/>
      <c r="DZ53" s="335"/>
      <c r="EA53" s="335"/>
      <c r="EB53" s="477"/>
      <c r="EC53" s="476"/>
      <c r="ED53" s="473">
        <f t="shared" si="142"/>
        <v>0</v>
      </c>
      <c r="EE53" s="622">
        <f ca="1">IF(((EC53-TODAY())/30)&lt;0,0,(EC53-TODAY())/30)</f>
        <v>0</v>
      </c>
      <c r="EF53" s="736">
        <f t="shared" si="202"/>
        <v>731</v>
      </c>
      <c r="EG53" s="526"/>
      <c r="EH53" s="526"/>
      <c r="EI53" s="526">
        <f t="shared" si="203"/>
        <v>123</v>
      </c>
      <c r="EJ53" s="295"/>
      <c r="EK53" s="534">
        <f t="shared" si="198"/>
        <v>31</v>
      </c>
      <c r="EL53" s="476">
        <f>DATE(YEAR(EC53),MONTH(EC53)+1,DAY(EC53))</f>
        <v>31</v>
      </c>
      <c r="EM53" s="368"/>
      <c r="EN53" s="471">
        <f>(EL53-EK53)/30</f>
        <v>0</v>
      </c>
      <c r="EO53" s="457"/>
      <c r="EP53" s="173">
        <f t="shared" si="158"/>
        <v>0</v>
      </c>
      <c r="EQ53" s="77"/>
      <c r="ER53" s="353"/>
      <c r="ES53" s="353"/>
      <c r="ET53" s="353"/>
      <c r="EU53" s="353"/>
      <c r="EV53" s="353"/>
      <c r="EW53" s="483" t="e">
        <f t="shared" si="159"/>
        <v>#DIV/0!</v>
      </c>
      <c r="EX53" s="350"/>
      <c r="EY53" s="362"/>
      <c r="EZ53" s="350"/>
      <c r="FA53" s="350"/>
      <c r="FB53" s="126">
        <f t="shared" si="143"/>
        <v>731</v>
      </c>
      <c r="FC53" s="80"/>
      <c r="FD53" s="80"/>
      <c r="FE53" s="80"/>
      <c r="FF53" s="80"/>
      <c r="FG53" s="80"/>
      <c r="FH53" s="31"/>
      <c r="FI53" s="194">
        <f t="shared" si="201"/>
        <v>366</v>
      </c>
      <c r="FJ53" s="194"/>
      <c r="FK53" s="31"/>
      <c r="FL53" s="31"/>
      <c r="FM53" s="31"/>
      <c r="FN53" s="31"/>
      <c r="FO53" s="31"/>
      <c r="FP53" s="31"/>
      <c r="FQ53" s="31"/>
      <c r="FR53" s="31"/>
      <c r="FS53" s="31"/>
      <c r="FT53" s="31"/>
      <c r="FU53" s="31"/>
      <c r="FV53" s="31"/>
      <c r="FW53" s="31"/>
      <c r="FX53" s="529"/>
      <c r="FY53" s="652">
        <f t="shared" si="145"/>
        <v>0</v>
      </c>
      <c r="FZ53" s="550">
        <f t="shared" si="146"/>
        <v>0</v>
      </c>
      <c r="GA53" s="45">
        <f t="shared" si="160"/>
        <v>0</v>
      </c>
      <c r="GB53" s="602">
        <f t="shared" si="204"/>
        <v>0</v>
      </c>
      <c r="GC53" s="28" t="e">
        <f t="shared" si="147"/>
        <v>#DIV/0!</v>
      </c>
      <c r="GD53" s="28">
        <f t="shared" si="161"/>
        <v>0</v>
      </c>
      <c r="GE53" s="9"/>
      <c r="GF53" s="417"/>
      <c r="GG53" s="16">
        <f t="shared" si="162"/>
        <v>0</v>
      </c>
      <c r="GH53" s="9">
        <f t="shared" si="205"/>
        <v>0</v>
      </c>
      <c r="GI53" s="59"/>
      <c r="GJ53" s="10"/>
      <c r="GK53" s="407">
        <f t="shared" si="163"/>
        <v>0</v>
      </c>
      <c r="GL53" s="45"/>
      <c r="GM53" s="9"/>
      <c r="GN53" s="45"/>
      <c r="GO53" s="23" t="e">
        <f t="shared" si="148"/>
        <v>#DIV/0!</v>
      </c>
      <c r="GP53" s="45"/>
      <c r="GQ53" s="45"/>
      <c r="GR53" s="45"/>
      <c r="GS53" s="28"/>
      <c r="GT53" s="28"/>
      <c r="GU53" s="680"/>
      <c r="GV53" s="680"/>
      <c r="GW53" s="680"/>
      <c r="GX53" s="680"/>
      <c r="GY53" s="680"/>
      <c r="GZ53" s="681"/>
      <c r="HA53" s="680"/>
      <c r="HB53" s="680"/>
      <c r="HC53" s="9"/>
      <c r="HD53" s="602"/>
      <c r="HE53" s="608"/>
      <c r="HF53" s="602"/>
      <c r="HG53" s="602"/>
      <c r="HH53" s="608"/>
      <c r="HI53" s="602"/>
      <c r="HJ53" s="602"/>
      <c r="HK53" s="602"/>
      <c r="HL53" s="602"/>
      <c r="HM53" s="673"/>
      <c r="HN53" s="62"/>
      <c r="HO53" s="673"/>
      <c r="HP53" s="673"/>
      <c r="HQ53" s="539"/>
      <c r="HR53" s="539"/>
      <c r="HS53" s="539"/>
      <c r="HT53" s="539"/>
      <c r="HU53" s="539"/>
      <c r="HV53" s="673"/>
      <c r="HW53" s="673">
        <f t="shared" si="199"/>
        <v>0</v>
      </c>
      <c r="HX53" s="539"/>
    </row>
    <row r="54" spans="1:232" ht="75.75" customHeight="1">
      <c r="A54" s="63" t="s">
        <v>906</v>
      </c>
      <c r="B54" s="31" t="s">
        <v>14</v>
      </c>
      <c r="C54" s="31" t="s">
        <v>90</v>
      </c>
      <c r="D54" s="32">
        <v>2017</v>
      </c>
      <c r="E54" s="31"/>
      <c r="F54" s="32" t="s">
        <v>40</v>
      </c>
      <c r="G54" s="32" t="s">
        <v>605</v>
      </c>
      <c r="H54" s="34" t="s">
        <v>714</v>
      </c>
      <c r="I54" s="32"/>
      <c r="J54" s="31" t="s">
        <v>306</v>
      </c>
      <c r="K54" s="180"/>
      <c r="L54" s="114"/>
      <c r="M54" s="115"/>
      <c r="N54" s="116"/>
      <c r="O54" s="148">
        <v>10895</v>
      </c>
      <c r="P54" s="148">
        <v>949780</v>
      </c>
      <c r="Q54" s="152">
        <f>P54</f>
        <v>949780</v>
      </c>
      <c r="R54" s="142">
        <f>P54/AD54</f>
        <v>25669.72972972973</v>
      </c>
      <c r="S54" s="148">
        <f>P54/O54</f>
        <v>87.175768701239107</v>
      </c>
      <c r="T54" s="152">
        <f>Q54/O54</f>
        <v>87.175768701239107</v>
      </c>
      <c r="U54" s="152">
        <f>Q54/AK54</f>
        <v>296.99372729035201</v>
      </c>
      <c r="V54" s="152">
        <f>Q54/AD54</f>
        <v>25669.72972972973</v>
      </c>
      <c r="W54" s="142">
        <f>O54/AD54</f>
        <v>294.45945945945948</v>
      </c>
      <c r="X54" s="151"/>
      <c r="Y54" s="523">
        <f t="shared" ref="Y54:Y85" si="206">10000*AD54/O54</f>
        <v>33.960532354290962</v>
      </c>
      <c r="Z54" s="151"/>
      <c r="AA54" s="153">
        <v>650</v>
      </c>
      <c r="AB54" s="150"/>
      <c r="AC54" s="32" t="s">
        <v>10</v>
      </c>
      <c r="AD54" s="493">
        <f t="shared" si="131"/>
        <v>37</v>
      </c>
      <c r="AE54" s="493">
        <f t="shared" ref="AE54:AE85" si="207">AD54-AI54</f>
        <v>37</v>
      </c>
      <c r="AF54" s="42"/>
      <c r="AG54" s="31">
        <f>37</f>
        <v>37</v>
      </c>
      <c r="AH54" s="42"/>
      <c r="AI54" s="42"/>
      <c r="AJ54" s="796">
        <v>3032.98</v>
      </c>
      <c r="AK54" s="276">
        <v>3197.98</v>
      </c>
      <c r="AL54" s="586">
        <f t="shared" si="133"/>
        <v>81.972432432432427</v>
      </c>
      <c r="AM54" s="8">
        <f t="shared" si="134"/>
        <v>86.431891891891894</v>
      </c>
      <c r="AN54" s="35"/>
      <c r="AO54" s="35"/>
      <c r="AP54" s="35"/>
      <c r="AQ54" s="38"/>
      <c r="AR54" s="38"/>
      <c r="AS54" s="38"/>
      <c r="AT54" s="38"/>
      <c r="AU54" s="38"/>
      <c r="AV54" s="36"/>
      <c r="AW54" s="52"/>
      <c r="AX54" s="54"/>
      <c r="AY54" s="36"/>
      <c r="AZ54" s="32" t="s">
        <v>397</v>
      </c>
      <c r="BA54" s="32" t="s">
        <v>98</v>
      </c>
      <c r="BB54" s="38">
        <v>6377000</v>
      </c>
      <c r="BC54" s="504">
        <f>BB54/AJ54</f>
        <v>2102.5526050287176</v>
      </c>
      <c r="BD54" s="388">
        <f>BB54/AK54</f>
        <v>1994.0712574812851</v>
      </c>
      <c r="BE54" s="392">
        <f>BB54/AD54</f>
        <v>172351.35135135136</v>
      </c>
      <c r="BF54" s="215">
        <v>42761</v>
      </c>
      <c r="BG54" s="215"/>
      <c r="BH54" s="215">
        <v>42761</v>
      </c>
      <c r="BI54" s="215"/>
      <c r="BJ54" s="660">
        <v>42824</v>
      </c>
      <c r="BK54" s="660">
        <v>42998</v>
      </c>
      <c r="BL54" s="661"/>
      <c r="BM54" s="659">
        <f t="shared" si="135"/>
        <v>5.8</v>
      </c>
      <c r="BN54" s="578" t="s">
        <v>235</v>
      </c>
      <c r="BO54" s="452"/>
      <c r="BP54" s="687"/>
      <c r="BQ54" s="654">
        <f t="shared" si="200"/>
        <v>0</v>
      </c>
      <c r="BR54" s="639"/>
      <c r="BS54" s="452">
        <f>DATE(YEAR(BP54),MONTH(BP54)+3,DAY(BP54))</f>
        <v>91</v>
      </c>
      <c r="BT54" s="110"/>
      <c r="BU54" s="202"/>
      <c r="BV54" s="201">
        <f t="shared" ref="BV54:BV85" si="208">DATE(YEAR(BU54),MONTH(BU54)+24,DAY(BU54))</f>
        <v>731</v>
      </c>
      <c r="BW54" s="439"/>
      <c r="BX54" s="201" t="str">
        <f>IF(EL54&gt;BV54,"oui","non")</f>
        <v>non</v>
      </c>
      <c r="BY54" s="439">
        <f>(BV54-EL54)/30</f>
        <v>23.333333333333332</v>
      </c>
      <c r="BZ54" s="439">
        <f>IF((BY54*EO54)&lt;0,"0",BY54*EO54)</f>
        <v>0</v>
      </c>
      <c r="CA54" s="439">
        <f>BW54-BZ54</f>
        <v>0</v>
      </c>
      <c r="CB54" s="81"/>
      <c r="CC54" s="81"/>
      <c r="CD54" s="81"/>
      <c r="CE54" s="343" t="str">
        <f t="shared" si="136"/>
        <v>0</v>
      </c>
      <c r="CF54" s="81"/>
      <c r="CG54" s="81"/>
      <c r="CH54" s="326" t="str">
        <f t="shared" si="137"/>
        <v>0</v>
      </c>
      <c r="CI54" s="214"/>
      <c r="CJ54" s="214"/>
      <c r="CK54" s="326" t="str">
        <f t="shared" si="138"/>
        <v>0</v>
      </c>
      <c r="CL54" s="341"/>
      <c r="CM54" s="341"/>
      <c r="CN54" s="326" t="str">
        <f t="shared" si="139"/>
        <v>0</v>
      </c>
      <c r="CO54" s="341"/>
      <c r="CP54" s="341">
        <f ca="1">IF(CO54&lt;TODAY(),TODAY(),CO54)</f>
        <v>43950</v>
      </c>
      <c r="CQ54" s="326" t="str">
        <f t="shared" ca="1" si="140"/>
        <v>0</v>
      </c>
      <c r="CR54" s="292"/>
      <c r="CS54" s="341"/>
      <c r="CT54" s="337"/>
      <c r="CU54" s="335">
        <f ca="1">IF(CT54&lt;TODAY(),TODAY(),CT54)</f>
        <v>43950</v>
      </c>
      <c r="CV54" s="332" t="str">
        <f t="shared" ca="1" si="157"/>
        <v>0</v>
      </c>
      <c r="CW54" s="337"/>
      <c r="CX54" s="449"/>
      <c r="CY54" s="233"/>
      <c r="CZ54" s="284"/>
      <c r="DA54" s="332" t="str">
        <f t="shared" ref="DA54:DA85" si="209">IF(AND(CW54&gt;0,CX54&gt;0),CX54-CW54,"0")</f>
        <v>0</v>
      </c>
      <c r="DB54" s="450">
        <v>18</v>
      </c>
      <c r="DC54" s="169">
        <f t="shared" ref="DC54:DC85" si="210">DATEDIF(CX54,EC54,"M")</f>
        <v>0</v>
      </c>
      <c r="DD54" s="335"/>
      <c r="DE54" s="335">
        <f ca="1">IF(DD54&lt;TODAY(),TODAY(),DD54)</f>
        <v>43950</v>
      </c>
      <c r="DF54" s="332" t="str">
        <f ca="1">IF(AND(DD54&gt;0,DE54&gt;0),DE54-DD54,"0")</f>
        <v>0</v>
      </c>
      <c r="DG54" s="335"/>
      <c r="DH54" s="348">
        <f t="shared" ref="DH54:DH60" ca="1" si="211">IF(DG54&lt;TODAY(),TODAY(),DG54)</f>
        <v>43950</v>
      </c>
      <c r="DI54" s="333" t="str">
        <f t="shared" ref="DI54:DI85" ca="1" si="212">IF(AND(DG54&gt;0,DH54&gt;0),DH54-DG54,"0")</f>
        <v>0</v>
      </c>
      <c r="DJ54" s="335"/>
      <c r="DK54" s="348">
        <f t="shared" ref="DK54:DK76" ca="1" si="213">IF(DJ54&lt;TODAY(),TODAY(),DJ54)</f>
        <v>43950</v>
      </c>
      <c r="DL54" s="332" t="str">
        <f t="shared" ref="DL54:DL94" ca="1" si="214">IF(AND(DJ54&gt;0,DK54&gt;0),DK54-DJ54,"0")</f>
        <v>0</v>
      </c>
      <c r="DM54" s="335">
        <v>43493</v>
      </c>
      <c r="DN54" s="335">
        <f t="shared" ref="DN54:DN63" ca="1" si="215">IF(DM54&lt;TODAY(),TODAY(),DM54)</f>
        <v>43950</v>
      </c>
      <c r="DO54" s="332">
        <f t="shared" ref="DO54:DO85" ca="1" si="216">IF(AND(DM54&gt;0,DN54&gt;0),DN54-DM54,"0")</f>
        <v>457</v>
      </c>
      <c r="DP54" s="336"/>
      <c r="DQ54" s="336"/>
      <c r="DR54" s="332" t="str">
        <f t="shared" ref="DR54:DR85" si="217">IF(AND(DP54&gt;0,DQ54&gt;0),DQ54-DP54,"0")</f>
        <v>0</v>
      </c>
      <c r="DS54" s="335"/>
      <c r="DT54" s="335">
        <f t="shared" ref="DT54:DT76" ca="1" si="218">IF(DS54&lt;TODAY(),TODAY(),DS54)</f>
        <v>43950</v>
      </c>
      <c r="DU54" s="332" t="str">
        <f t="shared" ref="DU54:DU85" ca="1" si="219">IF(AND(DS54&gt;0,DT54&gt;0),DT54-DS54,"0")</f>
        <v>0</v>
      </c>
      <c r="DV54" s="335">
        <v>43570</v>
      </c>
      <c r="DW54" s="335">
        <f t="shared" ref="DW54:DW63" ca="1" si="220">IF(DV54&lt;TODAY(),TODAY(),DV54)</f>
        <v>43950</v>
      </c>
      <c r="DX54" s="332">
        <f t="shared" ref="DX54:DX85" ca="1" si="221">IF(AND(DV54&gt;0,DW54&gt;0),DW54-DV54,"0")</f>
        <v>380</v>
      </c>
      <c r="DY54" s="335"/>
      <c r="DZ54" s="335"/>
      <c r="EA54" s="335"/>
      <c r="EB54" s="477"/>
      <c r="EC54" s="476"/>
      <c r="ED54" s="473">
        <f t="shared" si="142"/>
        <v>0</v>
      </c>
      <c r="EE54" s="622"/>
      <c r="EF54" s="736">
        <f t="shared" ca="1" si="202"/>
        <v>44680</v>
      </c>
      <c r="EG54" s="526"/>
      <c r="EH54" s="526"/>
      <c r="EI54" s="526">
        <f t="shared" si="203"/>
        <v>123</v>
      </c>
      <c r="EJ54" s="295"/>
      <c r="EK54" s="534"/>
      <c r="EL54" s="476">
        <f>DATE(YEAR(EC54),MONTH(EC54)+1,DAY(EC54))</f>
        <v>31</v>
      </c>
      <c r="EM54" s="368"/>
      <c r="EN54" s="472">
        <f>(DATEDIF(EK54,EL54,"d"))/30</f>
        <v>1.0333333333333334</v>
      </c>
      <c r="EO54" s="461"/>
      <c r="EP54" s="173">
        <f t="shared" si="158"/>
        <v>0</v>
      </c>
      <c r="EQ54" s="77"/>
      <c r="ER54" s="353">
        <v>0</v>
      </c>
      <c r="ES54" s="353">
        <v>0</v>
      </c>
      <c r="ET54" s="353"/>
      <c r="EU54" s="353"/>
      <c r="EV54" s="353"/>
      <c r="EW54" s="483">
        <f t="shared" si="159"/>
        <v>0</v>
      </c>
      <c r="EX54" s="350"/>
      <c r="EY54" s="362"/>
      <c r="EZ54" s="362" t="s">
        <v>541</v>
      </c>
      <c r="FA54" s="350" t="s">
        <v>813</v>
      </c>
      <c r="FB54" s="126">
        <f t="shared" ca="1" si="143"/>
        <v>44680</v>
      </c>
      <c r="FC54" s="82"/>
      <c r="FD54" s="82"/>
      <c r="FE54" s="82"/>
      <c r="FF54" s="82"/>
      <c r="FG54" s="82"/>
      <c r="FH54" s="32"/>
      <c r="FI54" s="194">
        <f t="shared" si="201"/>
        <v>366</v>
      </c>
      <c r="FJ54" s="194"/>
      <c r="FK54" s="32"/>
      <c r="FL54" s="32"/>
      <c r="FM54" s="32"/>
      <c r="FN54" s="32"/>
      <c r="FO54" s="32"/>
      <c r="FP54" s="32"/>
      <c r="FQ54" s="32"/>
      <c r="FR54" s="32"/>
      <c r="FS54" s="32"/>
      <c r="FT54" s="32"/>
      <c r="FU54" s="32"/>
      <c r="FV54" s="32"/>
      <c r="FW54" s="32"/>
      <c r="FX54" s="529"/>
      <c r="FY54" s="652">
        <f t="shared" si="145"/>
        <v>6863538.2000000002</v>
      </c>
      <c r="FZ54" s="550">
        <f t="shared" si="146"/>
        <v>6863538.2000000002</v>
      </c>
      <c r="GA54" s="45">
        <f t="shared" si="160"/>
        <v>6863538.2000000002</v>
      </c>
      <c r="GB54" s="602">
        <f t="shared" si="204"/>
        <v>660000</v>
      </c>
      <c r="GC54" s="28">
        <f t="shared" si="147"/>
        <v>2146.21048286731</v>
      </c>
      <c r="GD54" s="28">
        <f t="shared" si="161"/>
        <v>185501.03243243243</v>
      </c>
      <c r="GE54" s="49">
        <v>2271739</v>
      </c>
      <c r="GF54" s="417"/>
      <c r="GG54" s="28">
        <f t="shared" si="162"/>
        <v>61398.351351351354</v>
      </c>
      <c r="GH54" s="49">
        <f t="shared" si="205"/>
        <v>3931799.2</v>
      </c>
      <c r="GI54" s="198">
        <v>1087640.28</v>
      </c>
      <c r="GJ54" s="761">
        <v>2844158.92</v>
      </c>
      <c r="GK54" s="407">
        <f t="shared" si="163"/>
        <v>106264.84324324325</v>
      </c>
      <c r="GL54" s="623"/>
      <c r="GM54" s="49">
        <v>660000</v>
      </c>
      <c r="GN54" s="45"/>
      <c r="GO54" s="23">
        <f t="shared" si="148"/>
        <v>9.6160315680912212E-2</v>
      </c>
      <c r="GP54" s="45"/>
      <c r="GQ54" s="45"/>
      <c r="GR54" s="49"/>
      <c r="GS54" s="28">
        <f t="shared" ref="GS54:GS85" si="222">GM54/AD54</f>
        <v>17837.837837837837</v>
      </c>
      <c r="GT54" s="28">
        <f t="shared" ref="GT54:GT85" si="223">(GE54+GM54)/AD54</f>
        <v>79236.189189189186</v>
      </c>
      <c r="GU54" s="685"/>
      <c r="GV54" s="685"/>
      <c r="GW54" s="680" t="e">
        <f>(#REF!+#REF!+GV54)/AD54</f>
        <v>#REF!</v>
      </c>
      <c r="GX54" s="685"/>
      <c r="GY54" s="682">
        <f t="shared" ref="GY54:GY85" si="224">(GE54+GM54+GV54+GX54)/AD54</f>
        <v>79236.189189189186</v>
      </c>
      <c r="GZ54" s="681" t="e">
        <f>(#REF!+#REF!+GV54+GX54)/(GU54+#REF!-HA54)</f>
        <v>#REF!</v>
      </c>
      <c r="HA54" s="685"/>
      <c r="HB54" s="685"/>
      <c r="HC54" s="45">
        <f>ES54</f>
        <v>0</v>
      </c>
      <c r="HD54" s="602"/>
      <c r="HE54" s="608">
        <f t="shared" ref="HE54:HE85" si="225">HD54/FZ54</f>
        <v>0</v>
      </c>
      <c r="HF54" s="602">
        <f t="shared" ref="HF54:HF85" si="226">FZ54-HD54</f>
        <v>6863538.2000000002</v>
      </c>
      <c r="HG54" s="602">
        <f ca="1">IF(EE54&lt;DATEDIF(TODAY(),$HG$1,"M"),HF54,(HF54/EE54*DATEDIF(TODAY(),$HG$1,"M")))</f>
        <v>6863538.2000000002</v>
      </c>
      <c r="HH54" s="602"/>
      <c r="HI54" s="602">
        <f>'[1]GLOBAL OPERATION'!$AG$89</f>
        <v>0</v>
      </c>
      <c r="HJ54" s="602">
        <f>GB54-HI54</f>
        <v>660000</v>
      </c>
      <c r="HK54" s="602">
        <f>HI54/GB54</f>
        <v>0</v>
      </c>
      <c r="HL54" s="602"/>
      <c r="HM54" s="673"/>
      <c r="HN54" s="62"/>
      <c r="HO54" s="673"/>
      <c r="HP54" s="673">
        <f>HQ54+HR54+HS54+HT54+HU54</f>
        <v>0</v>
      </c>
      <c r="HQ54" s="539"/>
      <c r="HR54" s="539"/>
      <c r="HS54" s="539"/>
      <c r="HT54" s="539"/>
      <c r="HU54" s="539"/>
      <c r="HV54" s="673"/>
      <c r="HW54" s="673">
        <f t="shared" si="199"/>
        <v>0</v>
      </c>
      <c r="HX54" s="539"/>
    </row>
    <row r="55" spans="1:232" ht="15.6">
      <c r="A55" s="58" t="s">
        <v>914</v>
      </c>
      <c r="B55" s="31" t="s">
        <v>21</v>
      </c>
      <c r="C55" s="31" t="s">
        <v>90</v>
      </c>
      <c r="D55" s="31">
        <v>2020</v>
      </c>
      <c r="E55" s="31" t="s">
        <v>880</v>
      </c>
      <c r="F55" s="74"/>
      <c r="G55" s="490"/>
      <c r="H55" s="31" t="s">
        <v>890</v>
      </c>
      <c r="I55" s="31"/>
      <c r="J55" s="74"/>
      <c r="K55" s="180"/>
      <c r="L55" s="114"/>
      <c r="M55" s="115"/>
      <c r="N55" s="116"/>
      <c r="O55" s="142"/>
      <c r="P55" s="142"/>
      <c r="Q55" s="142"/>
      <c r="R55" s="142">
        <f>P55/AD55</f>
        <v>0</v>
      </c>
      <c r="S55" s="142" t="e">
        <f>P55/O55</f>
        <v>#DIV/0!</v>
      </c>
      <c r="T55" s="148" t="e">
        <f>Q55/O55</f>
        <v>#DIV/0!</v>
      </c>
      <c r="U55" s="148">
        <f>Q55/AK55</f>
        <v>0</v>
      </c>
      <c r="V55" s="148">
        <f>Q55/AD55</f>
        <v>0</v>
      </c>
      <c r="W55" s="142">
        <f>O55/AD55</f>
        <v>0</v>
      </c>
      <c r="X55" s="143"/>
      <c r="Y55" s="525" t="e">
        <f t="shared" si="206"/>
        <v>#DIV/0!</v>
      </c>
      <c r="Z55" s="143"/>
      <c r="AA55" s="143"/>
      <c r="AB55" s="144">
        <v>0.1</v>
      </c>
      <c r="AC55" s="31" t="s">
        <v>10</v>
      </c>
      <c r="AD55" s="493">
        <f t="shared" si="131"/>
        <v>79</v>
      </c>
      <c r="AE55" s="493">
        <f t="shared" si="207"/>
        <v>79</v>
      </c>
      <c r="AF55" s="42"/>
      <c r="AG55" s="31">
        <v>79</v>
      </c>
      <c r="AH55" s="42"/>
      <c r="AI55" s="428"/>
      <c r="AJ55" s="796">
        <v>3778.72</v>
      </c>
      <c r="AK55" s="278">
        <v>4378.38</v>
      </c>
      <c r="AL55" s="586">
        <f t="shared" si="133"/>
        <v>47.831898734177216</v>
      </c>
      <c r="AM55" s="8">
        <f t="shared" si="134"/>
        <v>55.42253164556962</v>
      </c>
      <c r="AN55" s="35"/>
      <c r="AO55" s="35"/>
      <c r="AP55" s="35"/>
      <c r="AQ55" s="53"/>
      <c r="AR55" s="53"/>
      <c r="AS55" s="53"/>
      <c r="AT55" s="53"/>
      <c r="AU55" s="53"/>
      <c r="AV55" s="35"/>
      <c r="AW55" s="51"/>
      <c r="AX55" s="53"/>
      <c r="AY55" s="35"/>
      <c r="AZ55" s="31"/>
      <c r="BA55" s="31"/>
      <c r="BB55" s="160">
        <v>8805819</v>
      </c>
      <c r="BC55" s="504">
        <f>BB55/AJ55</f>
        <v>2330.370866325105</v>
      </c>
      <c r="BD55" s="388">
        <f>BB55/AK55</f>
        <v>2011.2048291833964</v>
      </c>
      <c r="BE55" s="392">
        <f>BB55/AD55</f>
        <v>111466.06329113925</v>
      </c>
      <c r="BF55" s="165"/>
      <c r="BG55" s="165"/>
      <c r="BH55" s="73">
        <v>43816</v>
      </c>
      <c r="BI55" s="73"/>
      <c r="BJ55" s="660"/>
      <c r="BK55" s="660"/>
      <c r="BL55" s="661"/>
      <c r="BM55" s="659">
        <f t="shared" si="135"/>
        <v>0</v>
      </c>
      <c r="BN55" s="578" t="s">
        <v>235</v>
      </c>
      <c r="BO55" s="110"/>
      <c r="BP55" s="139"/>
      <c r="BQ55" s="654">
        <f t="shared" si="200"/>
        <v>0</v>
      </c>
      <c r="BR55" s="638"/>
      <c r="BS55" s="110"/>
      <c r="BT55" s="110"/>
      <c r="BU55" s="202"/>
      <c r="BV55" s="201">
        <f t="shared" si="208"/>
        <v>731</v>
      </c>
      <c r="BW55" s="439"/>
      <c r="BX55" s="201" t="str">
        <f>IF(EL55&gt;BV55,"oui","non")</f>
        <v>non</v>
      </c>
      <c r="BY55" s="557">
        <f>(BV55-EL55)/30</f>
        <v>4.0999999999999996</v>
      </c>
      <c r="BZ55" s="439">
        <f>IF((BY55*EO55)&lt;0,"0",BY55*EO55)</f>
        <v>0</v>
      </c>
      <c r="CA55" s="439">
        <f>BW55-BZ55</f>
        <v>0</v>
      </c>
      <c r="CB55" s="214"/>
      <c r="CC55" s="81"/>
      <c r="CD55" s="81"/>
      <c r="CE55" s="326"/>
      <c r="CF55" s="81"/>
      <c r="CG55" s="81"/>
      <c r="CH55" s="326"/>
      <c r="CI55" s="341"/>
      <c r="CJ55" s="341"/>
      <c r="CK55" s="343"/>
      <c r="CL55" s="341"/>
      <c r="CM55" s="341"/>
      <c r="CN55" s="343"/>
      <c r="CO55" s="341"/>
      <c r="CP55" s="341"/>
      <c r="CQ55" s="343" t="str">
        <f t="shared" si="140"/>
        <v>0</v>
      </c>
      <c r="CR55" s="290"/>
      <c r="CS55" s="339"/>
      <c r="CT55" s="330"/>
      <c r="CU55" s="335"/>
      <c r="CV55" s="332" t="str">
        <f t="shared" si="157"/>
        <v>0</v>
      </c>
      <c r="CW55" s="330"/>
      <c r="CX55" s="449"/>
      <c r="CY55" s="233"/>
      <c r="CZ55" s="284">
        <f>(DATEDIF(BK55,CX55,"d"))/30</f>
        <v>0</v>
      </c>
      <c r="DA55" s="332" t="str">
        <f t="shared" si="209"/>
        <v>0</v>
      </c>
      <c r="DB55" s="450">
        <v>16</v>
      </c>
      <c r="DC55" s="169">
        <f t="shared" si="210"/>
        <v>18</v>
      </c>
      <c r="DD55" s="330"/>
      <c r="DE55" s="335"/>
      <c r="DF55" s="332"/>
      <c r="DG55" s="330"/>
      <c r="DH55" s="348">
        <f t="shared" ca="1" si="211"/>
        <v>43950</v>
      </c>
      <c r="DI55" s="333" t="str">
        <f t="shared" ca="1" si="212"/>
        <v>0</v>
      </c>
      <c r="DJ55" s="334"/>
      <c r="DK55" s="348">
        <f t="shared" ca="1" si="213"/>
        <v>43950</v>
      </c>
      <c r="DL55" s="332" t="str">
        <f t="shared" ca="1" si="214"/>
        <v>0</v>
      </c>
      <c r="DM55" s="335">
        <v>43532</v>
      </c>
      <c r="DN55" s="335">
        <f t="shared" ca="1" si="215"/>
        <v>43950</v>
      </c>
      <c r="DO55" s="332">
        <f t="shared" ca="1" si="216"/>
        <v>418</v>
      </c>
      <c r="DP55" s="336"/>
      <c r="DQ55" s="336"/>
      <c r="DR55" s="332" t="str">
        <f t="shared" si="217"/>
        <v>0</v>
      </c>
      <c r="DS55" s="335"/>
      <c r="DT55" s="335">
        <f t="shared" ca="1" si="218"/>
        <v>43950</v>
      </c>
      <c r="DU55" s="332" t="str">
        <f t="shared" ca="1" si="219"/>
        <v>0</v>
      </c>
      <c r="DV55" s="335"/>
      <c r="DW55" s="335">
        <f t="shared" ca="1" si="220"/>
        <v>43950</v>
      </c>
      <c r="DX55" s="332" t="str">
        <f t="shared" ca="1" si="221"/>
        <v>0</v>
      </c>
      <c r="DY55" s="336"/>
      <c r="DZ55" s="336"/>
      <c r="EA55" s="336"/>
      <c r="EB55" s="477">
        <f t="shared" ref="EB55:EB60" si="227">DATE(YEAR(CX55),MONTH(CX55)+DB55,DAY(CX55))</f>
        <v>486</v>
      </c>
      <c r="EC55" s="476">
        <f>DATE(YEAR(EB55),MONTH(EB55)+3,DAY(EB55))</f>
        <v>577</v>
      </c>
      <c r="ED55" s="473">
        <f t="shared" si="142"/>
        <v>3.0333333333333332</v>
      </c>
      <c r="EE55" s="622">
        <f t="shared" ref="EE55:EE76" ca="1" si="228">IF(((EC55-TODAY())/30)&lt;0,0,(EC55-TODAY())/30)</f>
        <v>0</v>
      </c>
      <c r="EF55" s="736">
        <f t="shared" ca="1" si="202"/>
        <v>44680</v>
      </c>
      <c r="EG55" s="526"/>
      <c r="EH55" s="526"/>
      <c r="EI55" s="526">
        <f t="shared" si="203"/>
        <v>702</v>
      </c>
      <c r="EJ55" s="295"/>
      <c r="EK55" s="534"/>
      <c r="EL55" s="476">
        <f>DATE(YEAR(EC55),MONTH(EC55)+1,DAY(EC55))</f>
        <v>608</v>
      </c>
      <c r="EM55" s="368"/>
      <c r="EN55" s="471">
        <f>(EL55-EK55)/30</f>
        <v>20.266666666666666</v>
      </c>
      <c r="EO55" s="461"/>
      <c r="EP55" s="173">
        <f t="shared" si="158"/>
        <v>0</v>
      </c>
      <c r="EQ55" s="77"/>
      <c r="ER55" s="353"/>
      <c r="ES55" s="353"/>
      <c r="ET55" s="353"/>
      <c r="EU55" s="353"/>
      <c r="EV55" s="353"/>
      <c r="EW55" s="483">
        <f t="shared" si="159"/>
        <v>0</v>
      </c>
      <c r="EX55" s="350"/>
      <c r="EY55" s="362"/>
      <c r="EZ55" s="350"/>
      <c r="FA55" s="350"/>
      <c r="FB55" s="126"/>
      <c r="FC55" s="80"/>
      <c r="FD55" s="80"/>
      <c r="FE55" s="80"/>
      <c r="FF55" s="80"/>
      <c r="FG55" s="80"/>
      <c r="FH55" s="31"/>
      <c r="FI55" s="194">
        <f t="shared" si="201"/>
        <v>942</v>
      </c>
      <c r="FJ55" s="194"/>
      <c r="FK55" s="31"/>
      <c r="FL55" s="31"/>
      <c r="FM55" s="31"/>
      <c r="FN55" s="31"/>
      <c r="FO55" s="31"/>
      <c r="FP55" s="31"/>
      <c r="FQ55" s="31"/>
      <c r="FR55" s="31"/>
      <c r="FS55" s="31"/>
      <c r="FT55" s="31"/>
      <c r="FU55" s="31"/>
      <c r="FV55" s="31"/>
      <c r="FW55" s="31"/>
      <c r="FX55" s="529"/>
      <c r="FY55" s="652">
        <f t="shared" si="145"/>
        <v>9211405.25</v>
      </c>
      <c r="FZ55" s="550">
        <f t="shared" si="146"/>
        <v>9211405.25</v>
      </c>
      <c r="GA55" s="45">
        <f t="shared" si="160"/>
        <v>9211405.25</v>
      </c>
      <c r="GB55" s="602">
        <f t="shared" si="204"/>
        <v>2325000</v>
      </c>
      <c r="GC55" s="28">
        <f t="shared" si="147"/>
        <v>2103.8386914794969</v>
      </c>
      <c r="GD55" s="28">
        <f t="shared" si="161"/>
        <v>116600.0664556962</v>
      </c>
      <c r="GE55" s="413">
        <v>2427624.67</v>
      </c>
      <c r="GF55" s="417"/>
      <c r="GG55" s="16">
        <f t="shared" si="162"/>
        <v>30729.426202531646</v>
      </c>
      <c r="GH55" s="9">
        <f t="shared" si="205"/>
        <v>4458780.58</v>
      </c>
      <c r="GI55" s="10">
        <v>732156.24</v>
      </c>
      <c r="GJ55" s="10">
        <v>3726624.34</v>
      </c>
      <c r="GK55" s="407">
        <f t="shared" si="163"/>
        <v>56440.260506329112</v>
      </c>
      <c r="GL55" s="9"/>
      <c r="GM55" s="9">
        <v>2325000</v>
      </c>
      <c r="GN55" s="45"/>
      <c r="GO55" s="23">
        <f t="shared" si="148"/>
        <v>0.25240448518970543</v>
      </c>
      <c r="GP55" s="45"/>
      <c r="GQ55" s="45"/>
      <c r="GR55" s="45"/>
      <c r="GS55" s="28">
        <f t="shared" si="222"/>
        <v>29430.379746835442</v>
      </c>
      <c r="GT55" s="28">
        <f t="shared" si="223"/>
        <v>60159.805949367088</v>
      </c>
      <c r="GU55" s="680"/>
      <c r="GV55" s="680"/>
      <c r="GW55" s="680">
        <f>(GE55+GM55+GV55)/AD55</f>
        <v>60159.805949367088</v>
      </c>
      <c r="GX55" s="680"/>
      <c r="GY55" s="680">
        <f t="shared" si="224"/>
        <v>60159.805949367088</v>
      </c>
      <c r="GZ55" s="681">
        <f>(GE55+GM55+GV55+GX55)/(GU55+FZ55-HA55)</f>
        <v>0.51595001424999731</v>
      </c>
      <c r="HA55" s="680"/>
      <c r="HB55" s="680"/>
      <c r="HC55" s="9"/>
      <c r="HD55" s="602"/>
      <c r="HE55" s="608">
        <f t="shared" si="225"/>
        <v>0</v>
      </c>
      <c r="HF55" s="602">
        <f t="shared" si="226"/>
        <v>9211405.25</v>
      </c>
      <c r="HG55" s="602">
        <f ca="1">IF(EE55&lt;DATEDIF(TODAY(),$HG$1,"M"),HF55,(HF55/EE55*DATEDIF(TODAY(),$HG$1,"M")))*0+100000</f>
        <v>100000</v>
      </c>
      <c r="HH55" s="608">
        <f ca="1">(HD55+HG55)/FZ55</f>
        <v>1.0856106889879804E-2</v>
      </c>
      <c r="HI55" s="602"/>
      <c r="HJ55" s="602">
        <f>GB55-HI55</f>
        <v>2325000</v>
      </c>
      <c r="HK55" s="602">
        <f>HI55/GB55</f>
        <v>0</v>
      </c>
      <c r="HL55" s="602"/>
      <c r="HM55" s="673"/>
      <c r="HN55" s="62"/>
      <c r="HO55" s="673"/>
      <c r="HP55" s="673"/>
      <c r="HQ55" s="539"/>
      <c r="HR55" s="539"/>
      <c r="HS55" s="539"/>
      <c r="HT55" s="539"/>
      <c r="HU55" s="539"/>
      <c r="HV55" s="673"/>
      <c r="HW55" s="673">
        <f t="shared" si="199"/>
        <v>0</v>
      </c>
      <c r="HX55" s="539"/>
    </row>
    <row r="56" spans="1:232" ht="34.5" customHeight="1">
      <c r="A56" s="58" t="s">
        <v>462</v>
      </c>
      <c r="B56" s="31" t="s">
        <v>25</v>
      </c>
      <c r="C56" s="31" t="s">
        <v>92</v>
      </c>
      <c r="D56" s="31">
        <v>2018</v>
      </c>
      <c r="E56" s="31" t="s">
        <v>419</v>
      </c>
      <c r="F56" s="31"/>
      <c r="G56" s="31" t="s">
        <v>605</v>
      </c>
      <c r="H56" s="34" t="s">
        <v>714</v>
      </c>
      <c r="I56" s="31" t="s">
        <v>714</v>
      </c>
      <c r="J56" s="31" t="s">
        <v>422</v>
      </c>
      <c r="K56" s="180" t="s">
        <v>429</v>
      </c>
      <c r="L56" s="114"/>
      <c r="M56" s="115"/>
      <c r="N56" s="116"/>
      <c r="O56" s="142">
        <v>3040</v>
      </c>
      <c r="P56" s="142">
        <v>205275</v>
      </c>
      <c r="Q56" s="142">
        <v>205275</v>
      </c>
      <c r="R56" s="142">
        <f>P56/AD56</f>
        <v>6842.5</v>
      </c>
      <c r="S56" s="142">
        <f>P56/O56</f>
        <v>67.524671052631575</v>
      </c>
      <c r="T56" s="148">
        <f>Q56/O56</f>
        <v>67.524671052631575</v>
      </c>
      <c r="U56" s="148">
        <f>Q56/AK56</f>
        <v>91.631011925088217</v>
      </c>
      <c r="V56" s="148">
        <f>Q56/AD56</f>
        <v>6842.5</v>
      </c>
      <c r="W56" s="142">
        <f>O56/AD56</f>
        <v>101.33333333333333</v>
      </c>
      <c r="X56" s="143"/>
      <c r="Y56" s="525">
        <f t="shared" si="206"/>
        <v>98.684210526315795</v>
      </c>
      <c r="Z56" s="143" t="s">
        <v>147</v>
      </c>
      <c r="AA56" s="143"/>
      <c r="AB56" s="144"/>
      <c r="AC56" s="31" t="s">
        <v>10</v>
      </c>
      <c r="AD56" s="493">
        <f t="shared" si="131"/>
        <v>30</v>
      </c>
      <c r="AE56" s="493">
        <f t="shared" si="207"/>
        <v>30</v>
      </c>
      <c r="AF56" s="42"/>
      <c r="AG56" s="31">
        <v>30</v>
      </c>
      <c r="AH56" s="42"/>
      <c r="AI56" s="42"/>
      <c r="AJ56" s="796">
        <v>1932.4899999999998</v>
      </c>
      <c r="AK56" s="278">
        <v>2240.2350000000001</v>
      </c>
      <c r="AL56" s="586">
        <f t="shared" si="133"/>
        <v>64.416333333333327</v>
      </c>
      <c r="AM56" s="8">
        <f t="shared" si="134"/>
        <v>74.674500000000009</v>
      </c>
      <c r="AN56" s="35">
        <v>6.27</v>
      </c>
      <c r="AO56" s="35">
        <v>5.41</v>
      </c>
      <c r="AP56" s="35">
        <v>403.92</v>
      </c>
      <c r="AQ56" s="53">
        <f>5/AD56</f>
        <v>0.16666666666666666</v>
      </c>
      <c r="AR56" s="53">
        <f>8/AD56</f>
        <v>0.26666666666666666</v>
      </c>
      <c r="AS56" s="53">
        <f>11/AD56</f>
        <v>0.36666666666666664</v>
      </c>
      <c r="AT56" s="53">
        <f>5/AD56</f>
        <v>0.16666666666666666</v>
      </c>
      <c r="AU56" s="53">
        <f>1/AD56</f>
        <v>3.3333333333333333E-2</v>
      </c>
      <c r="AV56" s="35"/>
      <c r="AW56" s="51"/>
      <c r="AX56" s="53"/>
      <c r="AY56" s="35"/>
      <c r="AZ56" s="31" t="s">
        <v>398</v>
      </c>
      <c r="BA56" s="31" t="s">
        <v>98</v>
      </c>
      <c r="BB56" s="31"/>
      <c r="BC56" s="31"/>
      <c r="BD56" s="31"/>
      <c r="BE56" s="31"/>
      <c r="BF56" s="165"/>
      <c r="BG56" s="165"/>
      <c r="BH56" s="73">
        <v>43308</v>
      </c>
      <c r="BI56" s="381" t="s">
        <v>799</v>
      </c>
      <c r="BJ56" s="660">
        <v>43189</v>
      </c>
      <c r="BK56" s="660">
        <v>43287</v>
      </c>
      <c r="BL56" s="661"/>
      <c r="BM56" s="659">
        <f t="shared" si="135"/>
        <v>3.2666666666666666</v>
      </c>
      <c r="BN56" s="578" t="s">
        <v>235</v>
      </c>
      <c r="BO56" s="452"/>
      <c r="BP56" s="687"/>
      <c r="BQ56" s="654">
        <f t="shared" si="200"/>
        <v>0</v>
      </c>
      <c r="BR56" s="639"/>
      <c r="BS56" s="110">
        <f>DATE(YEAR(BP56),MONTH(BP56)+3,DAY(BP56))</f>
        <v>91</v>
      </c>
      <c r="BT56" s="110"/>
      <c r="BU56" s="202"/>
      <c r="BV56" s="201">
        <f t="shared" si="208"/>
        <v>731</v>
      </c>
      <c r="BW56" s="439"/>
      <c r="BX56" s="201" t="str">
        <f>IF(EL56&gt;BV56,"oui","non")</f>
        <v>oui</v>
      </c>
      <c r="BY56" s="557">
        <f>(BV56-EL56)/30</f>
        <v>-6.6666666666666666E-2</v>
      </c>
      <c r="BZ56" s="439" t="str">
        <f>IF((BY56*EO56)&lt;0,"0",BY56*EO56)</f>
        <v>0</v>
      </c>
      <c r="CA56" s="439">
        <f>BW56-BZ56</f>
        <v>0</v>
      </c>
      <c r="CB56" s="214"/>
      <c r="CC56" s="81"/>
      <c r="CD56" s="81"/>
      <c r="CE56" s="326" t="str">
        <f t="shared" ref="CE56:CE87" si="229">IF(AND(CC56&gt;0,CD56&gt;0),CD56-CC56,"0")</f>
        <v>0</v>
      </c>
      <c r="CF56" s="81"/>
      <c r="CG56" s="81"/>
      <c r="CH56" s="326" t="str">
        <f t="shared" ref="CH56:CH87" si="230">IF(AND(CF56&gt;0,CG56&gt;0),CG56-CF56,"0")</f>
        <v>0</v>
      </c>
      <c r="CI56" s="81"/>
      <c r="CJ56" s="214"/>
      <c r="CK56" s="326" t="str">
        <f t="shared" ref="CK56:CK87" si="231">IF(AND(CI56&gt;0,CJ56&gt;0),CJ56-CI56,"0")</f>
        <v>0</v>
      </c>
      <c r="CL56" s="341"/>
      <c r="CM56" s="339"/>
      <c r="CN56" s="343" t="str">
        <f t="shared" ref="CN56:CN87" si="232">IF(AND(CL56&gt;0,CM56&gt;0),CM56-CL56,"0")</f>
        <v>0</v>
      </c>
      <c r="CO56" s="341"/>
      <c r="CP56" s="341"/>
      <c r="CQ56" s="343" t="str">
        <f t="shared" si="140"/>
        <v>0</v>
      </c>
      <c r="CR56" s="290"/>
      <c r="CS56" s="345"/>
      <c r="CT56" s="330"/>
      <c r="CU56" s="335"/>
      <c r="CV56" s="332" t="str">
        <f t="shared" si="157"/>
        <v>0</v>
      </c>
      <c r="CW56" s="330"/>
      <c r="CX56" s="449"/>
      <c r="CY56" s="233"/>
      <c r="CZ56" s="284"/>
      <c r="DA56" s="332" t="str">
        <f t="shared" si="209"/>
        <v>0</v>
      </c>
      <c r="DB56" s="450">
        <v>16</v>
      </c>
      <c r="DC56" s="169">
        <f t="shared" si="210"/>
        <v>18</v>
      </c>
      <c r="DD56" s="330"/>
      <c r="DE56" s="335">
        <f ca="1">IF(DD56&lt;TODAY(),TODAY(),DD56)</f>
        <v>43950</v>
      </c>
      <c r="DF56" s="332" t="str">
        <f t="shared" ref="DF56:DF87" ca="1" si="233">IF(AND(DD56&gt;0,DE56&gt;0),DE56-DD56,"0")</f>
        <v>0</v>
      </c>
      <c r="DG56" s="330"/>
      <c r="DH56" s="348">
        <f t="shared" ca="1" si="211"/>
        <v>43950</v>
      </c>
      <c r="DI56" s="333" t="str">
        <f t="shared" ca="1" si="212"/>
        <v>0</v>
      </c>
      <c r="DJ56" s="334"/>
      <c r="DK56" s="348">
        <f t="shared" ca="1" si="213"/>
        <v>43950</v>
      </c>
      <c r="DL56" s="332" t="str">
        <f t="shared" ca="1" si="214"/>
        <v>0</v>
      </c>
      <c r="DM56" s="335">
        <v>43515</v>
      </c>
      <c r="DN56" s="335">
        <f t="shared" ca="1" si="215"/>
        <v>43950</v>
      </c>
      <c r="DO56" s="332">
        <f t="shared" ca="1" si="216"/>
        <v>435</v>
      </c>
      <c r="DP56" s="336"/>
      <c r="DQ56" s="336"/>
      <c r="DR56" s="332" t="str">
        <f t="shared" si="217"/>
        <v>0</v>
      </c>
      <c r="DS56" s="335"/>
      <c r="DT56" s="335">
        <f t="shared" ca="1" si="218"/>
        <v>43950</v>
      </c>
      <c r="DU56" s="332" t="str">
        <f t="shared" ca="1" si="219"/>
        <v>0</v>
      </c>
      <c r="DV56" s="335">
        <v>43592</v>
      </c>
      <c r="DW56" s="335">
        <f t="shared" ca="1" si="220"/>
        <v>43950</v>
      </c>
      <c r="DX56" s="332">
        <f t="shared" ca="1" si="221"/>
        <v>358</v>
      </c>
      <c r="DY56" s="336"/>
      <c r="DZ56" s="336"/>
      <c r="EA56" s="336"/>
      <c r="EB56" s="477">
        <f t="shared" si="227"/>
        <v>486</v>
      </c>
      <c r="EC56" s="476">
        <f>DATE(YEAR(EB56),MONTH(EB56)+3,DAY(EB56))</f>
        <v>577</v>
      </c>
      <c r="ED56" s="473">
        <f t="shared" si="142"/>
        <v>3.0333333333333332</v>
      </c>
      <c r="EE56" s="622">
        <f t="shared" ca="1" si="228"/>
        <v>0</v>
      </c>
      <c r="EF56" s="736">
        <f t="shared" ca="1" si="202"/>
        <v>44680</v>
      </c>
      <c r="EG56" s="526"/>
      <c r="EH56" s="526"/>
      <c r="EI56" s="526">
        <f t="shared" si="203"/>
        <v>702</v>
      </c>
      <c r="EJ56" s="295"/>
      <c r="EK56" s="534">
        <f>DATE(YEAR(EB56),MONTH(EB56)+1,DAY(EB56))</f>
        <v>516</v>
      </c>
      <c r="EL56" s="476">
        <f>DATE(YEAR(EI56),MONTH(EI56)+1,DAY(EI56))</f>
        <v>733</v>
      </c>
      <c r="EM56" s="368"/>
      <c r="EN56" s="471">
        <f>(DATEDIF(EK56,EL56,"d"))/30</f>
        <v>7.2333333333333334</v>
      </c>
      <c r="EO56" s="461">
        <v>12283</v>
      </c>
      <c r="EP56" s="173">
        <f t="shared" si="158"/>
        <v>88847.03333333334</v>
      </c>
      <c r="EQ56" s="77"/>
      <c r="ER56" s="353">
        <v>0</v>
      </c>
      <c r="ES56" s="353">
        <v>0</v>
      </c>
      <c r="ET56" s="353"/>
      <c r="EU56" s="353"/>
      <c r="EV56" s="353"/>
      <c r="EW56" s="483">
        <f t="shared" si="159"/>
        <v>0</v>
      </c>
      <c r="EX56" s="350"/>
      <c r="EY56" s="362"/>
      <c r="EZ56" s="350" t="s">
        <v>517</v>
      </c>
      <c r="FA56" s="350" t="s">
        <v>812</v>
      </c>
      <c r="FB56" s="126">
        <f t="shared" ref="FB56:FB87" ca="1" si="234">DATE(YEAR(DH56),MONTH(DH56)+24,DAY(DH56))</f>
        <v>44680</v>
      </c>
      <c r="FC56" s="80"/>
      <c r="FD56" s="80"/>
      <c r="FE56" s="80"/>
      <c r="FF56" s="80"/>
      <c r="FG56" s="80"/>
      <c r="FH56" s="31"/>
      <c r="FI56" s="194">
        <f t="shared" si="201"/>
        <v>942</v>
      </c>
      <c r="FJ56" s="194"/>
      <c r="FK56" s="31"/>
      <c r="FL56" s="31"/>
      <c r="FM56" s="31"/>
      <c r="FN56" s="31"/>
      <c r="FO56" s="31"/>
      <c r="FP56" s="31"/>
      <c r="FQ56" s="31"/>
      <c r="FR56" s="31"/>
      <c r="FS56" s="31"/>
      <c r="FT56" s="31"/>
      <c r="FU56" s="31"/>
      <c r="FV56" s="31"/>
      <c r="FW56" s="31"/>
      <c r="FX56" s="529"/>
      <c r="FY56" s="652">
        <f t="shared" si="145"/>
        <v>4970505</v>
      </c>
      <c r="FZ56" s="550">
        <f t="shared" si="146"/>
        <v>4970505</v>
      </c>
      <c r="GA56" s="45">
        <f t="shared" si="160"/>
        <v>4970505</v>
      </c>
      <c r="GB56" s="602">
        <f t="shared" si="204"/>
        <v>783150</v>
      </c>
      <c r="GC56" s="28">
        <f t="shared" si="147"/>
        <v>2218.7426765495584</v>
      </c>
      <c r="GD56" s="28">
        <f t="shared" si="161"/>
        <v>165683.5</v>
      </c>
      <c r="GE56" s="855">
        <v>1494928</v>
      </c>
      <c r="GF56" s="417"/>
      <c r="GG56" s="16">
        <f t="shared" si="162"/>
        <v>49830.933333333334</v>
      </c>
      <c r="GH56" s="573">
        <f t="shared" si="205"/>
        <v>2692427</v>
      </c>
      <c r="GI56" s="59">
        <v>427747</v>
      </c>
      <c r="GJ56" s="59">
        <v>2264680</v>
      </c>
      <c r="GK56" s="407">
        <f t="shared" si="163"/>
        <v>89747.566666666666</v>
      </c>
      <c r="GL56" s="45"/>
      <c r="GM56" s="9">
        <v>780000</v>
      </c>
      <c r="GN56" s="45"/>
      <c r="GO56" s="23">
        <f t="shared" si="148"/>
        <v>0.15692570473221534</v>
      </c>
      <c r="GP56" s="45"/>
      <c r="GQ56" s="45"/>
      <c r="GR56" s="45">
        <v>3150</v>
      </c>
      <c r="GS56" s="28">
        <f t="shared" si="222"/>
        <v>26000</v>
      </c>
      <c r="GT56" s="28">
        <f t="shared" si="223"/>
        <v>75830.933333333334</v>
      </c>
      <c r="GU56" s="680"/>
      <c r="GV56" s="680"/>
      <c r="GW56" s="680" t="e">
        <f>(#REF!+#REF!+GV56)/AD56</f>
        <v>#REF!</v>
      </c>
      <c r="GX56" s="680"/>
      <c r="GY56" s="680">
        <f t="shared" si="224"/>
        <v>75830.933333333334</v>
      </c>
      <c r="GZ56" s="681" t="e">
        <f>(#REF!+#REF!+GV56+GX56)/(GU56+#REF!-HA56)</f>
        <v>#REF!</v>
      </c>
      <c r="HA56" s="680"/>
      <c r="HB56" s="680"/>
      <c r="HC56" s="9">
        <f>ES56</f>
        <v>0</v>
      </c>
      <c r="HD56" s="602"/>
      <c r="HE56" s="608">
        <f t="shared" si="225"/>
        <v>0</v>
      </c>
      <c r="HF56" s="602">
        <f t="shared" si="226"/>
        <v>4970505</v>
      </c>
      <c r="HG56" s="602">
        <f t="shared" ref="HG56:HG70" ca="1" si="235">IF(EE56&lt;DATEDIF(TODAY(),$HG$1,"M"),HF56,(HF56/EE56*DATEDIF(TODAY(),$HG$1,"M")))</f>
        <v>4970505</v>
      </c>
      <c r="HH56" s="602"/>
      <c r="HI56" s="602">
        <f>'[1]GLOBAL OPERATION'!$AG$55</f>
        <v>677762.17999999993</v>
      </c>
      <c r="HJ56" s="602"/>
      <c r="HK56" s="602"/>
      <c r="HL56" s="602"/>
      <c r="HM56" s="673"/>
      <c r="HN56" s="62"/>
      <c r="HO56" s="673"/>
      <c r="HP56" s="673">
        <f t="shared" ref="HP56:HP96" si="236">HQ56+HR56+HS56+HT56+HU56</f>
        <v>0</v>
      </c>
      <c r="HQ56" s="539"/>
      <c r="HR56" s="539"/>
      <c r="HS56" s="539"/>
      <c r="HT56" s="539"/>
      <c r="HU56" s="539"/>
      <c r="HV56" s="673"/>
      <c r="HW56" s="673">
        <f t="shared" si="199"/>
        <v>0</v>
      </c>
      <c r="HX56" s="539"/>
    </row>
    <row r="57" spans="1:232" ht="20.100000000000001" customHeight="1">
      <c r="A57" s="58" t="s">
        <v>463</v>
      </c>
      <c r="B57" s="31" t="s">
        <v>25</v>
      </c>
      <c r="C57" s="31" t="s">
        <v>92</v>
      </c>
      <c r="D57" s="31">
        <v>2018</v>
      </c>
      <c r="E57" s="31" t="s">
        <v>418</v>
      </c>
      <c r="F57" s="31" t="s">
        <v>117</v>
      </c>
      <c r="G57" s="31"/>
      <c r="H57" s="34" t="s">
        <v>714</v>
      </c>
      <c r="I57" s="31" t="s">
        <v>714</v>
      </c>
      <c r="J57" s="31"/>
      <c r="K57" s="180" t="s">
        <v>465</v>
      </c>
      <c r="L57" s="114"/>
      <c r="M57" s="115"/>
      <c r="N57" s="116"/>
      <c r="O57" s="142">
        <v>2641</v>
      </c>
      <c r="P57" s="142">
        <v>313500</v>
      </c>
      <c r="Q57" s="142">
        <v>313500</v>
      </c>
      <c r="R57" s="142" t="e">
        <f>P57/AI57</f>
        <v>#DIV/0!</v>
      </c>
      <c r="S57" s="142">
        <f>P57/O57</f>
        <v>118.70503597122303</v>
      </c>
      <c r="T57" s="148">
        <f>Q57/O57</f>
        <v>118.70503597122303</v>
      </c>
      <c r="U57" s="148">
        <f>Q57/AK57</f>
        <v>120.78178757045603</v>
      </c>
      <c r="V57" s="148">
        <f>Q57/AD57</f>
        <v>9500</v>
      </c>
      <c r="W57" s="142">
        <f>O57/AD57</f>
        <v>80.030303030303031</v>
      </c>
      <c r="X57" s="143"/>
      <c r="Y57" s="522">
        <f t="shared" si="206"/>
        <v>124.95266944339265</v>
      </c>
      <c r="Z57" s="143" t="s">
        <v>153</v>
      </c>
      <c r="AA57" s="143"/>
      <c r="AB57" s="144"/>
      <c r="AC57" s="31" t="s">
        <v>9</v>
      </c>
      <c r="AD57" s="493">
        <f t="shared" si="131"/>
        <v>33</v>
      </c>
      <c r="AE57" s="493">
        <f t="shared" si="207"/>
        <v>33</v>
      </c>
      <c r="AF57" s="31">
        <v>33</v>
      </c>
      <c r="AG57" s="42"/>
      <c r="AH57" s="42"/>
      <c r="AI57" s="7"/>
      <c r="AJ57" s="796">
        <v>2317.79</v>
      </c>
      <c r="AK57" s="278">
        <v>2595.59</v>
      </c>
      <c r="AL57" s="586">
        <f t="shared" si="133"/>
        <v>70.236060606060605</v>
      </c>
      <c r="AM57" s="8">
        <f t="shared" si="134"/>
        <v>78.654242424242426</v>
      </c>
      <c r="AN57" s="35">
        <v>7.45</v>
      </c>
      <c r="AO57" s="35">
        <v>6.66</v>
      </c>
      <c r="AP57" s="35">
        <v>523.54</v>
      </c>
      <c r="AQ57" s="53">
        <f>7/AD57</f>
        <v>0.21212121212121213</v>
      </c>
      <c r="AR57" s="53">
        <f>3/AD57</f>
        <v>9.0909090909090912E-2</v>
      </c>
      <c r="AS57" s="53">
        <f>12/AD57</f>
        <v>0.36363636363636365</v>
      </c>
      <c r="AT57" s="53">
        <f>10/AD57</f>
        <v>0.30303030303030304</v>
      </c>
      <c r="AU57" s="53">
        <f>1/AD57</f>
        <v>3.0303030303030304E-2</v>
      </c>
      <c r="AV57" s="35"/>
      <c r="AW57" s="51"/>
      <c r="AX57" s="53"/>
      <c r="AY57" s="35"/>
      <c r="AZ57" s="31" t="s">
        <v>398</v>
      </c>
      <c r="BA57" s="31" t="s">
        <v>98</v>
      </c>
      <c r="BB57" s="31"/>
      <c r="BC57" s="31"/>
      <c r="BD57" s="31"/>
      <c r="BE57" s="31"/>
      <c r="BF57" s="165"/>
      <c r="BG57" s="165"/>
      <c r="BH57" s="73">
        <v>43308</v>
      </c>
      <c r="BI57" s="381" t="s">
        <v>799</v>
      </c>
      <c r="BJ57" s="660">
        <v>43189</v>
      </c>
      <c r="BK57" s="660">
        <v>43334</v>
      </c>
      <c r="BL57" s="661"/>
      <c r="BM57" s="659">
        <f t="shared" si="135"/>
        <v>4.833333333333333</v>
      </c>
      <c r="BN57" s="578" t="s">
        <v>235</v>
      </c>
      <c r="BO57" s="110"/>
      <c r="BP57" s="139"/>
      <c r="BQ57" s="654"/>
      <c r="BR57" s="638"/>
      <c r="BS57" s="110">
        <f>DATE(YEAR(BP57),MONTH(BP57)+3,DAY(BP57))</f>
        <v>91</v>
      </c>
      <c r="BT57" s="110"/>
      <c r="BU57" s="202"/>
      <c r="BV57" s="201">
        <f t="shared" si="208"/>
        <v>731</v>
      </c>
      <c r="BW57" s="439"/>
      <c r="BX57" s="201" t="str">
        <f>IF(EL57&gt;BV57,"oui","non")</f>
        <v>oui</v>
      </c>
      <c r="BY57" s="557">
        <f>(BV57-EL57)/30</f>
        <v>-6.6666666666666666E-2</v>
      </c>
      <c r="BZ57" s="439" t="str">
        <f>IF((BY57*EO57)&lt;0,"0",BY57*EO57)</f>
        <v>0</v>
      </c>
      <c r="CA57" s="439">
        <f>BW57-BZ57</f>
        <v>0</v>
      </c>
      <c r="CB57" s="214"/>
      <c r="CC57" s="81"/>
      <c r="CD57" s="81"/>
      <c r="CE57" s="326" t="str">
        <f t="shared" si="229"/>
        <v>0</v>
      </c>
      <c r="CF57" s="81"/>
      <c r="CG57" s="81"/>
      <c r="CH57" s="326" t="str">
        <f t="shared" si="230"/>
        <v>0</v>
      </c>
      <c r="CI57" s="341"/>
      <c r="CJ57" s="341"/>
      <c r="CK57" s="343" t="str">
        <f t="shared" si="231"/>
        <v>0</v>
      </c>
      <c r="CL57" s="341"/>
      <c r="CM57" s="341"/>
      <c r="CN57" s="343" t="str">
        <f t="shared" si="232"/>
        <v>0</v>
      </c>
      <c r="CO57" s="341"/>
      <c r="CP57" s="341"/>
      <c r="CQ57" s="343" t="str">
        <f t="shared" si="140"/>
        <v>0</v>
      </c>
      <c r="CR57" s="290"/>
      <c r="CS57" s="345"/>
      <c r="CT57" s="330"/>
      <c r="CU57" s="335"/>
      <c r="CV57" s="332" t="str">
        <f t="shared" si="157"/>
        <v>0</v>
      </c>
      <c r="CW57" s="330"/>
      <c r="CX57" s="449"/>
      <c r="CY57" s="233"/>
      <c r="CZ57" s="284"/>
      <c r="DA57" s="332" t="str">
        <f t="shared" si="209"/>
        <v>0</v>
      </c>
      <c r="DB57" s="450">
        <v>16</v>
      </c>
      <c r="DC57" s="169">
        <f t="shared" si="210"/>
        <v>18</v>
      </c>
      <c r="DD57" s="330"/>
      <c r="DE57" s="335">
        <f ca="1">IF(DD57&lt;TODAY(),TODAY(),DD57)</f>
        <v>43950</v>
      </c>
      <c r="DF57" s="332" t="str">
        <f t="shared" ca="1" si="233"/>
        <v>0</v>
      </c>
      <c r="DG57" s="330"/>
      <c r="DH57" s="348">
        <f t="shared" ca="1" si="211"/>
        <v>43950</v>
      </c>
      <c r="DI57" s="333" t="str">
        <f t="shared" ca="1" si="212"/>
        <v>0</v>
      </c>
      <c r="DJ57" s="334"/>
      <c r="DK57" s="348">
        <f t="shared" ca="1" si="213"/>
        <v>43950</v>
      </c>
      <c r="DL57" s="332" t="str">
        <f t="shared" ca="1" si="214"/>
        <v>0</v>
      </c>
      <c r="DM57" s="335">
        <v>43516</v>
      </c>
      <c r="DN57" s="335">
        <f t="shared" ca="1" si="215"/>
        <v>43950</v>
      </c>
      <c r="DO57" s="332">
        <f t="shared" ca="1" si="216"/>
        <v>434</v>
      </c>
      <c r="DP57" s="336"/>
      <c r="DQ57" s="336"/>
      <c r="DR57" s="332" t="str">
        <f t="shared" si="217"/>
        <v>0</v>
      </c>
      <c r="DS57" s="335"/>
      <c r="DT57" s="335">
        <f t="shared" ca="1" si="218"/>
        <v>43950</v>
      </c>
      <c r="DU57" s="332" t="str">
        <f t="shared" ca="1" si="219"/>
        <v>0</v>
      </c>
      <c r="DV57" s="335">
        <v>43593</v>
      </c>
      <c r="DW57" s="335">
        <f t="shared" ca="1" si="220"/>
        <v>43950</v>
      </c>
      <c r="DX57" s="332">
        <f t="shared" ca="1" si="221"/>
        <v>357</v>
      </c>
      <c r="DY57" s="335"/>
      <c r="DZ57" s="335"/>
      <c r="EA57" s="335"/>
      <c r="EB57" s="477">
        <f t="shared" si="227"/>
        <v>486</v>
      </c>
      <c r="EC57" s="476">
        <f>DATE(YEAR(EB57),MONTH(EB57)+3,DAY(EB57))</f>
        <v>577</v>
      </c>
      <c r="ED57" s="473">
        <f t="shared" si="142"/>
        <v>3.0333333333333332</v>
      </c>
      <c r="EE57" s="622">
        <f t="shared" ca="1" si="228"/>
        <v>0</v>
      </c>
      <c r="EF57" s="736">
        <f t="shared" ca="1" si="202"/>
        <v>44680</v>
      </c>
      <c r="EG57" s="526"/>
      <c r="EH57" s="526"/>
      <c r="EI57" s="526">
        <f t="shared" si="203"/>
        <v>702</v>
      </c>
      <c r="EJ57" s="295"/>
      <c r="EK57" s="534">
        <f>DATE(YEAR(EB57),MONTH(EB57)+1,DAY(EB57))</f>
        <v>516</v>
      </c>
      <c r="EL57" s="476">
        <f>DATE(YEAR(EI57),MONTH(EI57)+1,DAY(EI57))</f>
        <v>733</v>
      </c>
      <c r="EM57" s="368"/>
      <c r="EN57" s="471">
        <f>(DATEDIF(EK57,EL57,"d"))/30</f>
        <v>7.2333333333333334</v>
      </c>
      <c r="EO57" s="461">
        <v>17287</v>
      </c>
      <c r="EP57" s="173">
        <f t="shared" si="158"/>
        <v>125042.63333333333</v>
      </c>
      <c r="EQ57" s="77"/>
      <c r="ER57" s="353">
        <v>0</v>
      </c>
      <c r="ES57" s="353">
        <v>0</v>
      </c>
      <c r="ET57" s="353"/>
      <c r="EU57" s="353"/>
      <c r="EV57" s="353"/>
      <c r="EW57" s="483">
        <f t="shared" si="159"/>
        <v>0</v>
      </c>
      <c r="EX57" s="350"/>
      <c r="EY57" s="362"/>
      <c r="EZ57" s="350" t="s">
        <v>519</v>
      </c>
      <c r="FA57" s="350" t="s">
        <v>812</v>
      </c>
      <c r="FB57" s="126">
        <f t="shared" ca="1" si="234"/>
        <v>44680</v>
      </c>
      <c r="FC57" s="80"/>
      <c r="FD57" s="80"/>
      <c r="FE57" s="80"/>
      <c r="FF57" s="80"/>
      <c r="FG57" s="80"/>
      <c r="FH57" s="31"/>
      <c r="FI57" s="194">
        <f t="shared" si="201"/>
        <v>942</v>
      </c>
      <c r="FJ57" s="194"/>
      <c r="FK57" s="31"/>
      <c r="FL57" s="31"/>
      <c r="FM57" s="31"/>
      <c r="FN57" s="31"/>
      <c r="FO57" s="31"/>
      <c r="FP57" s="31"/>
      <c r="FQ57" s="31"/>
      <c r="FR57" s="31"/>
      <c r="FS57" s="31"/>
      <c r="FT57" s="31"/>
      <c r="FU57" s="31"/>
      <c r="FV57" s="31"/>
      <c r="FW57" s="31"/>
      <c r="FX57" s="529"/>
      <c r="FY57" s="652">
        <f t="shared" si="145"/>
        <v>5567908</v>
      </c>
      <c r="FZ57" s="550">
        <f t="shared" si="146"/>
        <v>5567908</v>
      </c>
      <c r="GA57" s="45">
        <f t="shared" si="160"/>
        <v>5567908</v>
      </c>
      <c r="GB57" s="602">
        <f t="shared" si="204"/>
        <v>647210</v>
      </c>
      <c r="GC57" s="28">
        <f t="shared" si="147"/>
        <v>2145.1415670425604</v>
      </c>
      <c r="GD57" s="28">
        <f t="shared" si="161"/>
        <v>168724.48484848486</v>
      </c>
      <c r="GE57" s="855">
        <v>1771481</v>
      </c>
      <c r="GF57" s="417"/>
      <c r="GG57" s="28">
        <f t="shared" si="162"/>
        <v>53681.242424242424</v>
      </c>
      <c r="GH57" s="573">
        <f t="shared" si="205"/>
        <v>3149217</v>
      </c>
      <c r="GI57" s="59">
        <v>424625</v>
      </c>
      <c r="GJ57" s="59">
        <v>2724592</v>
      </c>
      <c r="GK57" s="407">
        <f t="shared" si="163"/>
        <v>95430.818181818177</v>
      </c>
      <c r="GL57" s="9"/>
      <c r="GM57" s="9">
        <v>643500</v>
      </c>
      <c r="GN57" s="45"/>
      <c r="GO57" s="23">
        <f t="shared" si="148"/>
        <v>0.11557303030150642</v>
      </c>
      <c r="GP57" s="45"/>
      <c r="GQ57" s="45"/>
      <c r="GR57" s="45">
        <v>3710</v>
      </c>
      <c r="GS57" s="28">
        <f t="shared" si="222"/>
        <v>19500</v>
      </c>
      <c r="GT57" s="28">
        <f t="shared" si="223"/>
        <v>73181.242424242431</v>
      </c>
      <c r="GU57" s="682"/>
      <c r="GV57" s="682"/>
      <c r="GW57" s="680" t="e">
        <f>(#REF!+#REF!+GV57)/AD57</f>
        <v>#REF!</v>
      </c>
      <c r="GX57" s="682"/>
      <c r="GY57" s="682">
        <f t="shared" si="224"/>
        <v>73181.242424242431</v>
      </c>
      <c r="GZ57" s="681" t="e">
        <f>(#REF!+#REF!+GV57+GX57)/(GU57+#REF!-HA57)</f>
        <v>#REF!</v>
      </c>
      <c r="HA57" s="682"/>
      <c r="HB57" s="682"/>
      <c r="HC57" s="45">
        <f>ES57</f>
        <v>0</v>
      </c>
      <c r="HD57" s="602"/>
      <c r="HE57" s="608">
        <f t="shared" si="225"/>
        <v>0</v>
      </c>
      <c r="HF57" s="602">
        <f t="shared" si="226"/>
        <v>5567908</v>
      </c>
      <c r="HG57" s="602">
        <f t="shared" ca="1" si="235"/>
        <v>5567908</v>
      </c>
      <c r="HH57" s="602"/>
      <c r="HI57" s="602">
        <f>'[1]GLOBAL OPERATION'!$AG$2</f>
        <v>0</v>
      </c>
      <c r="HJ57" s="602">
        <f t="shared" ref="HJ57:HJ63" si="237">GB57-HI57</f>
        <v>647210</v>
      </c>
      <c r="HK57" s="602">
        <f t="shared" ref="HK57:HK63" si="238">HI57/GB57</f>
        <v>0</v>
      </c>
      <c r="HL57" s="602"/>
      <c r="HM57" s="673"/>
      <c r="HN57" s="62"/>
      <c r="HO57" s="673"/>
      <c r="HP57" s="673">
        <f t="shared" si="236"/>
        <v>0</v>
      </c>
      <c r="HQ57" s="539"/>
      <c r="HR57" s="539"/>
      <c r="HS57" s="539"/>
      <c r="HT57" s="539"/>
      <c r="HU57" s="539"/>
      <c r="HV57" s="673"/>
      <c r="HW57" s="673">
        <f t="shared" si="199"/>
        <v>0</v>
      </c>
      <c r="HX57" s="539"/>
    </row>
    <row r="58" spans="1:232" ht="20.100000000000001" customHeight="1">
      <c r="A58" s="510" t="s">
        <v>316</v>
      </c>
      <c r="B58" s="31" t="s">
        <v>21</v>
      </c>
      <c r="C58" s="31" t="s">
        <v>90</v>
      </c>
      <c r="D58" s="31">
        <v>2017</v>
      </c>
      <c r="E58" s="31"/>
      <c r="F58" s="31" t="s">
        <v>309</v>
      </c>
      <c r="G58" s="31" t="s">
        <v>142</v>
      </c>
      <c r="H58" s="31" t="s">
        <v>140</v>
      </c>
      <c r="I58" s="31"/>
      <c r="J58" s="31" t="s">
        <v>317</v>
      </c>
      <c r="K58" s="180" t="s">
        <v>338</v>
      </c>
      <c r="L58" s="114" t="s">
        <v>44</v>
      </c>
      <c r="M58" s="115" t="s">
        <v>342</v>
      </c>
      <c r="N58" s="116">
        <v>34008</v>
      </c>
      <c r="O58" s="159"/>
      <c r="P58" s="159"/>
      <c r="Q58" s="159"/>
      <c r="R58" s="159"/>
      <c r="S58" s="159"/>
      <c r="T58" s="386"/>
      <c r="U58" s="386"/>
      <c r="V58" s="386"/>
      <c r="W58" s="159"/>
      <c r="X58" s="143"/>
      <c r="Y58" s="525" t="e">
        <f t="shared" si="206"/>
        <v>#DIV/0!</v>
      </c>
      <c r="Z58" s="143"/>
      <c r="AA58" s="143"/>
      <c r="AB58" s="144"/>
      <c r="AC58" s="31" t="s">
        <v>308</v>
      </c>
      <c r="AD58" s="493">
        <f t="shared" si="131"/>
        <v>45</v>
      </c>
      <c r="AE58" s="493">
        <f t="shared" si="207"/>
        <v>0</v>
      </c>
      <c r="AF58" s="42"/>
      <c r="AG58" s="42"/>
      <c r="AH58" s="42"/>
      <c r="AI58" s="216">
        <v>45</v>
      </c>
      <c r="AJ58" s="796"/>
      <c r="AK58" s="278"/>
      <c r="AL58" s="586">
        <f t="shared" si="133"/>
        <v>0</v>
      </c>
      <c r="AM58" s="8">
        <f t="shared" si="134"/>
        <v>0</v>
      </c>
      <c r="AN58" s="35"/>
      <c r="AO58" s="35"/>
      <c r="AP58" s="35"/>
      <c r="AQ58" s="53"/>
      <c r="AR58" s="53"/>
      <c r="AS58" s="53"/>
      <c r="AT58" s="53"/>
      <c r="AU58" s="53"/>
      <c r="AV58" s="35"/>
      <c r="AW58" s="51"/>
      <c r="AX58" s="53"/>
      <c r="AY58" s="35"/>
      <c r="AZ58" s="31"/>
      <c r="BA58" s="31"/>
      <c r="BB58" s="31"/>
      <c r="BC58" s="31"/>
      <c r="BD58" s="31"/>
      <c r="BE58" s="31"/>
      <c r="BF58" s="31"/>
      <c r="BG58" s="31"/>
      <c r="BH58" s="31"/>
      <c r="BI58" s="31"/>
      <c r="BJ58" s="660">
        <v>42824</v>
      </c>
      <c r="BK58" s="660">
        <v>43032</v>
      </c>
      <c r="BL58" s="661"/>
      <c r="BM58" s="659">
        <f t="shared" si="135"/>
        <v>6.9333333333333336</v>
      </c>
      <c r="BN58" s="578"/>
      <c r="BO58" s="110">
        <v>43081</v>
      </c>
      <c r="BP58" s="139">
        <v>43235</v>
      </c>
      <c r="BQ58" s="655">
        <f t="shared" ref="BQ58:BQ76" si="239">(DATEDIF(BO58,BP58,"d"))/30</f>
        <v>5.1333333333333337</v>
      </c>
      <c r="BR58" s="638">
        <v>78079</v>
      </c>
      <c r="BS58" s="110">
        <f>DATE(YEAR(BP58),MONTH(BP58)+3,DAY(BP58))</f>
        <v>43327</v>
      </c>
      <c r="BT58" s="110"/>
      <c r="BU58" s="202">
        <v>43344</v>
      </c>
      <c r="BV58" s="201">
        <f t="shared" si="208"/>
        <v>44075</v>
      </c>
      <c r="BW58" s="439"/>
      <c r="BX58" s="555"/>
      <c r="BY58" s="556"/>
      <c r="BZ58" s="556"/>
      <c r="CA58" s="556"/>
      <c r="CB58" s="214">
        <v>42649</v>
      </c>
      <c r="CC58" s="81"/>
      <c r="CD58" s="81"/>
      <c r="CE58" s="326" t="str">
        <f t="shared" si="229"/>
        <v>0</v>
      </c>
      <c r="CF58" s="81">
        <v>42872</v>
      </c>
      <c r="CG58" s="81">
        <v>42880</v>
      </c>
      <c r="CH58" s="326">
        <f t="shared" si="230"/>
        <v>8</v>
      </c>
      <c r="CI58" s="214">
        <v>42814</v>
      </c>
      <c r="CJ58" s="214">
        <v>42853</v>
      </c>
      <c r="CK58" s="326">
        <f t="shared" si="231"/>
        <v>39</v>
      </c>
      <c r="CL58" s="341">
        <v>42877</v>
      </c>
      <c r="CM58" s="339">
        <f ca="1">IF(CL58&lt;TODAY(),TODAY(),CL58)</f>
        <v>43950</v>
      </c>
      <c r="CN58" s="326">
        <f t="shared" ca="1" si="232"/>
        <v>1073</v>
      </c>
      <c r="CO58" s="341">
        <v>42962</v>
      </c>
      <c r="CP58" s="341">
        <f ca="1">IF(CO58&lt;TODAY(),TODAY(),CO58)</f>
        <v>43950</v>
      </c>
      <c r="CQ58" s="326">
        <f t="shared" ca="1" si="140"/>
        <v>988</v>
      </c>
      <c r="CR58" s="290"/>
      <c r="CS58" s="346">
        <v>43270</v>
      </c>
      <c r="CT58" s="337">
        <v>43074</v>
      </c>
      <c r="CU58" s="335">
        <f ca="1">IF(CT58&lt;TODAY(),TODAY(),CT58)</f>
        <v>43950</v>
      </c>
      <c r="CV58" s="448">
        <f t="shared" ca="1" si="157"/>
        <v>876</v>
      </c>
      <c r="CW58" s="214">
        <v>43081</v>
      </c>
      <c r="CX58" s="282">
        <v>43362</v>
      </c>
      <c r="CY58" s="283">
        <v>2018</v>
      </c>
      <c r="CZ58" s="288">
        <f t="shared" ref="CZ58:CZ89" si="240">(DATEDIF(BK58,CX58,"d"))/30</f>
        <v>11</v>
      </c>
      <c r="DA58" s="448">
        <f t="shared" si="209"/>
        <v>281</v>
      </c>
      <c r="DB58" s="179">
        <v>12</v>
      </c>
      <c r="DC58" s="76">
        <f t="shared" si="210"/>
        <v>18</v>
      </c>
      <c r="DD58" s="330"/>
      <c r="DE58" s="335">
        <f ca="1">IF(DD58&lt;TODAY(),TODAY(),DD58)</f>
        <v>43950</v>
      </c>
      <c r="DF58" s="332" t="str">
        <f t="shared" ca="1" si="233"/>
        <v>0</v>
      </c>
      <c r="DG58" s="330"/>
      <c r="DH58" s="348">
        <f t="shared" ca="1" si="211"/>
        <v>43950</v>
      </c>
      <c r="DI58" s="396" t="str">
        <f t="shared" ca="1" si="212"/>
        <v>0</v>
      </c>
      <c r="DJ58" s="335"/>
      <c r="DK58" s="348">
        <f t="shared" ca="1" si="213"/>
        <v>43950</v>
      </c>
      <c r="DL58" s="332" t="str">
        <f t="shared" ca="1" si="214"/>
        <v>0</v>
      </c>
      <c r="DM58" s="335">
        <v>43497</v>
      </c>
      <c r="DN58" s="335">
        <f t="shared" ca="1" si="215"/>
        <v>43950</v>
      </c>
      <c r="DO58" s="332">
        <f t="shared" ca="1" si="216"/>
        <v>453</v>
      </c>
      <c r="DP58" s="336"/>
      <c r="DQ58" s="335"/>
      <c r="DR58" s="332" t="str">
        <f t="shared" si="217"/>
        <v>0</v>
      </c>
      <c r="DS58" s="335"/>
      <c r="DT58" s="335">
        <f t="shared" ca="1" si="218"/>
        <v>43950</v>
      </c>
      <c r="DU58" s="332" t="str">
        <f t="shared" ca="1" si="219"/>
        <v>0</v>
      </c>
      <c r="DV58" s="335">
        <v>43574</v>
      </c>
      <c r="DW58" s="335">
        <f t="shared" ca="1" si="220"/>
        <v>43950</v>
      </c>
      <c r="DX58" s="332">
        <f t="shared" ca="1" si="221"/>
        <v>376</v>
      </c>
      <c r="DY58" s="335"/>
      <c r="DZ58" s="335"/>
      <c r="EA58" s="335"/>
      <c r="EB58" s="477">
        <f t="shared" si="227"/>
        <v>43727</v>
      </c>
      <c r="EC58" s="476">
        <v>43936</v>
      </c>
      <c r="ED58" s="473">
        <f t="shared" si="142"/>
        <v>6.9666666666666668</v>
      </c>
      <c r="EE58" s="622">
        <f t="shared" ca="1" si="228"/>
        <v>0</v>
      </c>
      <c r="EF58" s="780">
        <f t="shared" ca="1" si="202"/>
        <v>44680</v>
      </c>
      <c r="EG58" s="535"/>
      <c r="EH58" s="526"/>
      <c r="EI58" s="128"/>
      <c r="EJ58" s="295"/>
      <c r="EK58" s="534">
        <f>DATE(YEAR(EB58),MONTH(EB58)+1,DAY(EB58))</f>
        <v>43757</v>
      </c>
      <c r="EL58" s="476">
        <f t="shared" ref="EL58:EL69" si="241">DATE(YEAR(EC58),MONTH(EC58)+1,DAY(EC58))</f>
        <v>43966</v>
      </c>
      <c r="EM58" s="368"/>
      <c r="EN58" s="471">
        <f>(EL58-EK58)/30</f>
        <v>6.9666666666666668</v>
      </c>
      <c r="EO58" s="462"/>
      <c r="EP58" s="38">
        <f t="shared" si="158"/>
        <v>0</v>
      </c>
      <c r="EQ58" s="77"/>
      <c r="ER58" s="353">
        <v>0</v>
      </c>
      <c r="ES58" s="353">
        <v>0</v>
      </c>
      <c r="ET58" s="353"/>
      <c r="EU58" s="353"/>
      <c r="EV58" s="353"/>
      <c r="EW58" s="483">
        <f t="shared" si="159"/>
        <v>0</v>
      </c>
      <c r="EX58" s="350"/>
      <c r="EY58" s="362"/>
      <c r="EZ58" s="658" t="s">
        <v>931</v>
      </c>
      <c r="FA58" s="423" t="s">
        <v>827</v>
      </c>
      <c r="FB58" s="126">
        <f t="shared" ca="1" si="234"/>
        <v>44680</v>
      </c>
      <c r="FC58" s="80"/>
      <c r="FD58" s="80"/>
      <c r="FE58" s="80"/>
      <c r="FF58" s="80"/>
      <c r="FG58" s="80"/>
      <c r="FH58" s="31"/>
      <c r="FI58" s="194">
        <f t="shared" si="201"/>
        <v>44301</v>
      </c>
      <c r="FJ58" s="194"/>
      <c r="FK58" s="31"/>
      <c r="FL58" s="31"/>
      <c r="FM58" s="31"/>
      <c r="FN58" s="31"/>
      <c r="FO58" s="31"/>
      <c r="FP58" s="31"/>
      <c r="FQ58" s="31"/>
      <c r="FR58" s="31"/>
      <c r="FS58" s="31"/>
      <c r="FT58" s="31"/>
      <c r="FU58" s="31"/>
      <c r="FV58" s="31"/>
      <c r="FW58" s="31"/>
      <c r="FX58" s="529"/>
      <c r="FY58" s="652">
        <f t="shared" si="145"/>
        <v>2090128</v>
      </c>
      <c r="FZ58" s="550">
        <f t="shared" si="146"/>
        <v>2090128</v>
      </c>
      <c r="GA58" s="45"/>
      <c r="GB58" s="602">
        <f>GM58+GN58+GR58</f>
        <v>291620</v>
      </c>
      <c r="GC58" s="28" t="e">
        <f t="shared" si="147"/>
        <v>#DIV/0!</v>
      </c>
      <c r="GD58" s="28">
        <f t="shared" si="161"/>
        <v>46447.288888888892</v>
      </c>
      <c r="GE58" s="45"/>
      <c r="GF58" s="417"/>
      <c r="GG58" s="28" t="e">
        <f>#REF!/AD58</f>
        <v>#REF!</v>
      </c>
      <c r="GH58" s="45">
        <v>1348508</v>
      </c>
      <c r="GI58" s="267"/>
      <c r="GJ58" s="267"/>
      <c r="GK58" s="407">
        <f t="shared" si="163"/>
        <v>29966.844444444443</v>
      </c>
      <c r="GL58" s="49"/>
      <c r="GM58" s="45">
        <v>281250</v>
      </c>
      <c r="GN58" s="45"/>
      <c r="GO58" s="23">
        <f t="shared" si="148"/>
        <v>0.13456113692558541</v>
      </c>
      <c r="GP58" s="45">
        <v>450000</v>
      </c>
      <c r="GQ58" s="45"/>
      <c r="GR58" s="45">
        <v>10370</v>
      </c>
      <c r="GS58" s="28">
        <f t="shared" si="222"/>
        <v>6250</v>
      </c>
      <c r="GT58" s="28">
        <f t="shared" si="223"/>
        <v>6250</v>
      </c>
      <c r="GU58" s="682"/>
      <c r="GV58" s="682"/>
      <c r="GW58" s="680" t="e">
        <f>(#REF!+#REF!+GV58)/AD58</f>
        <v>#REF!</v>
      </c>
      <c r="GX58" s="682"/>
      <c r="GY58" s="680">
        <f t="shared" si="224"/>
        <v>6250</v>
      </c>
      <c r="GZ58" s="681" t="e">
        <f>(#REF!+#REF!+GV58+GX58)/(GU58+#REF!-HA58)</f>
        <v>#REF!</v>
      </c>
      <c r="HA58" s="682"/>
      <c r="HB58" s="682"/>
      <c r="HC58" s="45"/>
      <c r="HD58" s="602">
        <v>435509.55661999999</v>
      </c>
      <c r="HE58" s="608">
        <f t="shared" si="225"/>
        <v>0.20836501717598155</v>
      </c>
      <c r="HF58" s="602">
        <f t="shared" si="226"/>
        <v>1654618.4433800001</v>
      </c>
      <c r="HG58" s="602">
        <f t="shared" ca="1" si="235"/>
        <v>1654618.4433800001</v>
      </c>
      <c r="HH58" s="608">
        <f ca="1">(HD58+HG58)/FZ58</f>
        <v>1</v>
      </c>
      <c r="HI58" s="602"/>
      <c r="HJ58" s="602">
        <f t="shared" si="237"/>
        <v>291620</v>
      </c>
      <c r="HK58" s="602">
        <f t="shared" si="238"/>
        <v>0</v>
      </c>
      <c r="HL58" s="602"/>
      <c r="HM58" s="673"/>
      <c r="HN58" s="62"/>
      <c r="HO58" s="673"/>
      <c r="HP58" s="673">
        <f t="shared" si="236"/>
        <v>0</v>
      </c>
      <c r="HQ58" s="539"/>
      <c r="HR58" s="539"/>
      <c r="HS58" s="539"/>
      <c r="HT58" s="539"/>
      <c r="HU58" s="539"/>
      <c r="HV58" s="673"/>
      <c r="HW58" s="673">
        <f t="shared" si="199"/>
        <v>0</v>
      </c>
      <c r="HX58" s="539"/>
    </row>
    <row r="59" spans="1:232" ht="29.25" customHeight="1">
      <c r="A59" s="510" t="s">
        <v>318</v>
      </c>
      <c r="B59" s="31" t="s">
        <v>319</v>
      </c>
      <c r="C59" s="31" t="s">
        <v>92</v>
      </c>
      <c r="D59" s="31">
        <v>2017</v>
      </c>
      <c r="E59" s="31"/>
      <c r="F59" s="31" t="s">
        <v>309</v>
      </c>
      <c r="G59" s="6" t="s">
        <v>142</v>
      </c>
      <c r="H59" s="31" t="s">
        <v>138</v>
      </c>
      <c r="I59" s="31"/>
      <c r="J59" s="31" t="s">
        <v>320</v>
      </c>
      <c r="K59" s="180" t="s">
        <v>371</v>
      </c>
      <c r="L59" s="114" t="s">
        <v>44</v>
      </c>
      <c r="M59" s="115" t="s">
        <v>343</v>
      </c>
      <c r="N59" s="116">
        <v>35569</v>
      </c>
      <c r="O59" s="159"/>
      <c r="P59" s="159"/>
      <c r="Q59" s="159"/>
      <c r="R59" s="159"/>
      <c r="S59" s="159"/>
      <c r="T59" s="386"/>
      <c r="U59" s="386"/>
      <c r="V59" s="386"/>
      <c r="W59" s="159"/>
      <c r="X59" s="143"/>
      <c r="Y59" s="525" t="e">
        <f t="shared" si="206"/>
        <v>#DIV/0!</v>
      </c>
      <c r="Z59" s="143"/>
      <c r="AA59" s="143"/>
      <c r="AB59" s="144"/>
      <c r="AC59" s="31" t="s">
        <v>308</v>
      </c>
      <c r="AD59" s="493">
        <f t="shared" si="131"/>
        <v>31</v>
      </c>
      <c r="AE59" s="493">
        <f t="shared" si="207"/>
        <v>0</v>
      </c>
      <c r="AF59" s="42"/>
      <c r="AG59" s="42"/>
      <c r="AH59" s="42"/>
      <c r="AI59" s="216">
        <v>31</v>
      </c>
      <c r="AJ59" s="796"/>
      <c r="AK59" s="278"/>
      <c r="AL59" s="586">
        <f t="shared" si="133"/>
        <v>0</v>
      </c>
      <c r="AM59" s="8">
        <f t="shared" si="134"/>
        <v>0</v>
      </c>
      <c r="AN59" s="35"/>
      <c r="AO59" s="35"/>
      <c r="AP59" s="35"/>
      <c r="AQ59" s="53"/>
      <c r="AR59" s="53"/>
      <c r="AS59" s="53"/>
      <c r="AT59" s="53"/>
      <c r="AU59" s="53"/>
      <c r="AV59" s="35"/>
      <c r="AW59" s="51"/>
      <c r="AX59" s="53"/>
      <c r="AY59" s="35"/>
      <c r="AZ59" s="31"/>
      <c r="BA59" s="31"/>
      <c r="BB59" s="31"/>
      <c r="BC59" s="31"/>
      <c r="BD59" s="31"/>
      <c r="BE59" s="31"/>
      <c r="BF59" s="31"/>
      <c r="BG59" s="31"/>
      <c r="BH59" s="31"/>
      <c r="BI59" s="31"/>
      <c r="BJ59" s="660">
        <v>42824</v>
      </c>
      <c r="BK59" s="660">
        <v>43039</v>
      </c>
      <c r="BL59" s="661"/>
      <c r="BM59" s="659">
        <f t="shared" si="135"/>
        <v>7.166666666666667</v>
      </c>
      <c r="BN59" s="578"/>
      <c r="BO59" s="110">
        <v>43081</v>
      </c>
      <c r="BP59" s="139">
        <v>43234</v>
      </c>
      <c r="BQ59" s="655">
        <f t="shared" si="239"/>
        <v>5.0999999999999996</v>
      </c>
      <c r="BR59" s="638">
        <v>78084</v>
      </c>
      <c r="BS59" s="110">
        <f>DATE(YEAR(BP59),MONTH(BP59)+3,DAY(BP59))</f>
        <v>43326</v>
      </c>
      <c r="BT59" s="110"/>
      <c r="BU59" s="202">
        <v>43344</v>
      </c>
      <c r="BV59" s="201">
        <f t="shared" si="208"/>
        <v>44075</v>
      </c>
      <c r="BW59" s="439"/>
      <c r="BX59" s="555"/>
      <c r="BY59" s="556"/>
      <c r="BZ59" s="556"/>
      <c r="CA59" s="556"/>
      <c r="CB59" s="214">
        <v>42632</v>
      </c>
      <c r="CC59" s="81"/>
      <c r="CD59" s="81"/>
      <c r="CE59" s="326" t="str">
        <f t="shared" si="229"/>
        <v>0</v>
      </c>
      <c r="CF59" s="81">
        <v>42914</v>
      </c>
      <c r="CG59" s="81">
        <v>42884</v>
      </c>
      <c r="CH59" s="326">
        <f t="shared" si="230"/>
        <v>-30</v>
      </c>
      <c r="CI59" s="214">
        <v>42809</v>
      </c>
      <c r="CJ59" s="214">
        <v>42893</v>
      </c>
      <c r="CK59" s="326">
        <f t="shared" si="231"/>
        <v>84</v>
      </c>
      <c r="CL59" s="81">
        <v>42972</v>
      </c>
      <c r="CM59" s="214">
        <v>42976</v>
      </c>
      <c r="CN59" s="326">
        <f t="shared" si="232"/>
        <v>4</v>
      </c>
      <c r="CO59" s="81">
        <v>42977</v>
      </c>
      <c r="CP59" s="81">
        <v>42976</v>
      </c>
      <c r="CQ59" s="326">
        <f t="shared" si="140"/>
        <v>-1</v>
      </c>
      <c r="CR59" s="290"/>
      <c r="CS59" s="346">
        <v>43249</v>
      </c>
      <c r="CT59" s="337">
        <v>43077</v>
      </c>
      <c r="CU59" s="335">
        <f ca="1">IF(CT59&lt;TODAY(),TODAY(),CT59)</f>
        <v>43950</v>
      </c>
      <c r="CV59" s="332">
        <f t="shared" ca="1" si="157"/>
        <v>873</v>
      </c>
      <c r="CW59" s="337">
        <v>43090</v>
      </c>
      <c r="CX59" s="282">
        <v>43441</v>
      </c>
      <c r="CY59" s="283">
        <v>2018</v>
      </c>
      <c r="CZ59" s="288">
        <f t="shared" si="240"/>
        <v>13.4</v>
      </c>
      <c r="DA59" s="332">
        <f t="shared" si="209"/>
        <v>351</v>
      </c>
      <c r="DB59" s="179">
        <v>12</v>
      </c>
      <c r="DC59" s="76">
        <f t="shared" si="210"/>
        <v>16</v>
      </c>
      <c r="DD59" s="330"/>
      <c r="DE59" s="335">
        <f ca="1">IF(DD59&lt;TODAY(),TODAY(),DD59)</f>
        <v>43950</v>
      </c>
      <c r="DF59" s="332" t="str">
        <f t="shared" ca="1" si="233"/>
        <v>0</v>
      </c>
      <c r="DG59" s="330"/>
      <c r="DH59" s="348">
        <f t="shared" ca="1" si="211"/>
        <v>43950</v>
      </c>
      <c r="DI59" s="396" t="str">
        <f t="shared" ca="1" si="212"/>
        <v>0</v>
      </c>
      <c r="DJ59" s="335"/>
      <c r="DK59" s="348">
        <f t="shared" ca="1" si="213"/>
        <v>43950</v>
      </c>
      <c r="DL59" s="332" t="str">
        <f t="shared" ca="1" si="214"/>
        <v>0</v>
      </c>
      <c r="DM59" s="335">
        <v>43498</v>
      </c>
      <c r="DN59" s="335">
        <f t="shared" ca="1" si="215"/>
        <v>43950</v>
      </c>
      <c r="DO59" s="332">
        <f t="shared" ca="1" si="216"/>
        <v>452</v>
      </c>
      <c r="DP59" s="336"/>
      <c r="DQ59" s="336"/>
      <c r="DR59" s="332" t="str">
        <f t="shared" si="217"/>
        <v>0</v>
      </c>
      <c r="DS59" s="335"/>
      <c r="DT59" s="335">
        <f t="shared" ca="1" si="218"/>
        <v>43950</v>
      </c>
      <c r="DU59" s="332" t="str">
        <f t="shared" ca="1" si="219"/>
        <v>0</v>
      </c>
      <c r="DV59" s="335">
        <v>43575</v>
      </c>
      <c r="DW59" s="335">
        <f t="shared" ca="1" si="220"/>
        <v>43950</v>
      </c>
      <c r="DX59" s="332">
        <f t="shared" ca="1" si="221"/>
        <v>375</v>
      </c>
      <c r="DY59" s="335"/>
      <c r="DZ59" s="335"/>
      <c r="EA59" s="335"/>
      <c r="EB59" s="477">
        <f t="shared" si="227"/>
        <v>43806</v>
      </c>
      <c r="EC59" s="476">
        <v>43936</v>
      </c>
      <c r="ED59" s="473">
        <f t="shared" si="142"/>
        <v>4.333333333333333</v>
      </c>
      <c r="EE59" s="622">
        <f t="shared" ca="1" si="228"/>
        <v>0</v>
      </c>
      <c r="EF59" s="780">
        <f t="shared" ca="1" si="202"/>
        <v>44680</v>
      </c>
      <c r="EG59" s="535"/>
      <c r="EH59" s="526"/>
      <c r="EI59" s="128"/>
      <c r="EJ59" s="295"/>
      <c r="EK59" s="534">
        <f>DATE(YEAR(EB59),MONTH(EB59)+1,DAY(EB59))</f>
        <v>43837</v>
      </c>
      <c r="EL59" s="476">
        <f t="shared" si="241"/>
        <v>43966</v>
      </c>
      <c r="EM59" s="368"/>
      <c r="EN59" s="471">
        <f>(EL59-EK59)/30</f>
        <v>4.3</v>
      </c>
      <c r="EO59" s="462"/>
      <c r="EP59" s="38">
        <f t="shared" si="158"/>
        <v>0</v>
      </c>
      <c r="EQ59" s="77"/>
      <c r="ER59" s="353">
        <v>0</v>
      </c>
      <c r="ES59" s="353">
        <v>0</v>
      </c>
      <c r="ET59" s="353"/>
      <c r="EU59" s="353"/>
      <c r="EV59" s="353"/>
      <c r="EW59" s="483">
        <f t="shared" si="159"/>
        <v>0</v>
      </c>
      <c r="EX59" s="350"/>
      <c r="EY59" s="362"/>
      <c r="EZ59" s="422" t="s">
        <v>932</v>
      </c>
      <c r="FA59" s="423" t="s">
        <v>827</v>
      </c>
      <c r="FB59" s="126">
        <f t="shared" ca="1" si="234"/>
        <v>44680</v>
      </c>
      <c r="FC59" s="80"/>
      <c r="FD59" s="80"/>
      <c r="FE59" s="80"/>
      <c r="FF59" s="80"/>
      <c r="FG59" s="80"/>
      <c r="FH59" s="31"/>
      <c r="FI59" s="194">
        <f t="shared" si="201"/>
        <v>44301</v>
      </c>
      <c r="FJ59" s="194"/>
      <c r="FK59" s="31"/>
      <c r="FL59" s="31"/>
      <c r="FM59" s="31"/>
      <c r="FN59" s="31"/>
      <c r="FO59" s="31"/>
      <c r="FP59" s="31"/>
      <c r="FQ59" s="31"/>
      <c r="FR59" s="31"/>
      <c r="FS59" s="31"/>
      <c r="FT59" s="31"/>
      <c r="FU59" s="31"/>
      <c r="FV59" s="31"/>
      <c r="FW59" s="31"/>
      <c r="FX59" s="529"/>
      <c r="FY59" s="652">
        <f t="shared" si="145"/>
        <v>2102936</v>
      </c>
      <c r="FZ59" s="550">
        <f t="shared" si="146"/>
        <v>2102936</v>
      </c>
      <c r="GA59" s="45"/>
      <c r="GB59" s="602">
        <f>GM59+GN59+GR59</f>
        <v>466366</v>
      </c>
      <c r="GC59" s="28" t="e">
        <f t="shared" si="147"/>
        <v>#DIV/0!</v>
      </c>
      <c r="GD59" s="28">
        <f t="shared" si="161"/>
        <v>67836.645161290318</v>
      </c>
      <c r="GE59" s="45"/>
      <c r="GF59" s="417"/>
      <c r="GG59" s="28" t="e">
        <f>#REF!/AD59</f>
        <v>#REF!</v>
      </c>
      <c r="GH59" s="45">
        <v>989127</v>
      </c>
      <c r="GI59" s="267"/>
      <c r="GJ59" s="267"/>
      <c r="GK59" s="407">
        <f t="shared" si="163"/>
        <v>31907.322580645163</v>
      </c>
      <c r="GL59" s="49">
        <v>347443</v>
      </c>
      <c r="GM59" s="45">
        <v>401760</v>
      </c>
      <c r="GN59" s="45"/>
      <c r="GO59" s="23">
        <f t="shared" si="148"/>
        <v>0.19104718355670358</v>
      </c>
      <c r="GP59" s="45">
        <v>300000</v>
      </c>
      <c r="GQ59" s="45"/>
      <c r="GR59" s="45">
        <v>64606</v>
      </c>
      <c r="GS59" s="28">
        <f t="shared" si="222"/>
        <v>12960</v>
      </c>
      <c r="GT59" s="28">
        <f t="shared" si="223"/>
        <v>12960</v>
      </c>
      <c r="GU59" s="682"/>
      <c r="GV59" s="682"/>
      <c r="GW59" s="680" t="e">
        <f>(#REF!+#REF!+GV59)/AD59</f>
        <v>#REF!</v>
      </c>
      <c r="GX59" s="682"/>
      <c r="GY59" s="680">
        <f t="shared" si="224"/>
        <v>12960</v>
      </c>
      <c r="GZ59" s="681" t="e">
        <f>(#REF!+#REF!+GV59+GX59)/(GU59+#REF!-HA59)</f>
        <v>#REF!</v>
      </c>
      <c r="HA59" s="682"/>
      <c r="HB59" s="682"/>
      <c r="HC59" s="45"/>
      <c r="HD59" s="602">
        <v>241383.86025999996</v>
      </c>
      <c r="HE59" s="608">
        <f t="shared" si="225"/>
        <v>0.11478421609597247</v>
      </c>
      <c r="HF59" s="602">
        <f t="shared" si="226"/>
        <v>1861552.13974</v>
      </c>
      <c r="HG59" s="602">
        <f t="shared" ca="1" si="235"/>
        <v>1861552.13974</v>
      </c>
      <c r="HH59" s="608">
        <f ca="1">(HD59+HG59)/FZ59</f>
        <v>1</v>
      </c>
      <c r="HI59" s="602"/>
      <c r="HJ59" s="602">
        <f t="shared" si="237"/>
        <v>466366</v>
      </c>
      <c r="HK59" s="602">
        <f t="shared" si="238"/>
        <v>0</v>
      </c>
      <c r="HL59" s="602"/>
      <c r="HM59" s="673"/>
      <c r="HN59" s="62"/>
      <c r="HO59" s="673"/>
      <c r="HP59" s="673">
        <f t="shared" si="236"/>
        <v>0</v>
      </c>
      <c r="HQ59" s="539"/>
      <c r="HR59" s="539"/>
      <c r="HS59" s="539"/>
      <c r="HT59" s="539"/>
      <c r="HU59" s="539"/>
      <c r="HV59" s="673"/>
      <c r="HW59" s="673">
        <f t="shared" si="199"/>
        <v>0</v>
      </c>
      <c r="HX59" s="539"/>
    </row>
    <row r="60" spans="1:232" ht="33.75" customHeight="1">
      <c r="A60" s="510" t="s">
        <v>312</v>
      </c>
      <c r="B60" s="31" t="s">
        <v>31</v>
      </c>
      <c r="C60" s="31" t="s">
        <v>90</v>
      </c>
      <c r="D60" s="31">
        <v>2017</v>
      </c>
      <c r="E60" s="31"/>
      <c r="F60" s="31" t="s">
        <v>309</v>
      </c>
      <c r="G60" s="15" t="s">
        <v>337</v>
      </c>
      <c r="H60" s="31" t="s">
        <v>138</v>
      </c>
      <c r="I60" s="31"/>
      <c r="J60" s="31" t="s">
        <v>313</v>
      </c>
      <c r="K60" s="180" t="s">
        <v>369</v>
      </c>
      <c r="L60" s="114" t="s">
        <v>44</v>
      </c>
      <c r="M60" s="115" t="s">
        <v>346</v>
      </c>
      <c r="N60" s="116">
        <v>35049</v>
      </c>
      <c r="O60" s="159"/>
      <c r="P60" s="159"/>
      <c r="Q60" s="159"/>
      <c r="R60" s="159"/>
      <c r="S60" s="159"/>
      <c r="T60" s="386"/>
      <c r="U60" s="386"/>
      <c r="V60" s="386"/>
      <c r="W60" s="159"/>
      <c r="X60" s="143"/>
      <c r="Y60" s="525" t="e">
        <f t="shared" si="206"/>
        <v>#DIV/0!</v>
      </c>
      <c r="Z60" s="143"/>
      <c r="AA60" s="143"/>
      <c r="AB60" s="144"/>
      <c r="AC60" s="31" t="s">
        <v>308</v>
      </c>
      <c r="AD60" s="493">
        <f t="shared" si="131"/>
        <v>6</v>
      </c>
      <c r="AE60" s="493">
        <f t="shared" si="207"/>
        <v>0</v>
      </c>
      <c r="AF60" s="42"/>
      <c r="AG60" s="42"/>
      <c r="AH60" s="42"/>
      <c r="AI60" s="216">
        <v>6</v>
      </c>
      <c r="AJ60" s="796"/>
      <c r="AK60" s="278"/>
      <c r="AL60" s="586">
        <f t="shared" si="133"/>
        <v>0</v>
      </c>
      <c r="AM60" s="8">
        <f t="shared" si="134"/>
        <v>0</v>
      </c>
      <c r="AN60" s="35"/>
      <c r="AO60" s="35"/>
      <c r="AP60" s="35"/>
      <c r="AQ60" s="53"/>
      <c r="AR60" s="53"/>
      <c r="AS60" s="53"/>
      <c r="AT60" s="53"/>
      <c r="AU60" s="53"/>
      <c r="AV60" s="35"/>
      <c r="AW60" s="51"/>
      <c r="AX60" s="53"/>
      <c r="AY60" s="35"/>
      <c r="AZ60" s="31"/>
      <c r="BA60" s="31"/>
      <c r="BB60" s="31"/>
      <c r="BC60" s="31"/>
      <c r="BD60" s="31"/>
      <c r="BE60" s="31"/>
      <c r="BF60" s="31"/>
      <c r="BG60" s="31"/>
      <c r="BH60" s="31"/>
      <c r="BI60" s="31"/>
      <c r="BJ60" s="660">
        <v>42824</v>
      </c>
      <c r="BK60" s="660">
        <v>43005</v>
      </c>
      <c r="BL60" s="661"/>
      <c r="BM60" s="659">
        <f t="shared" si="135"/>
        <v>6.0333333333333332</v>
      </c>
      <c r="BN60" s="578"/>
      <c r="BO60" s="110">
        <v>43081</v>
      </c>
      <c r="BP60" s="138">
        <v>43234</v>
      </c>
      <c r="BQ60" s="655">
        <f t="shared" si="239"/>
        <v>5.0999999999999996</v>
      </c>
      <c r="BR60" s="638">
        <v>78083</v>
      </c>
      <c r="BS60" s="110">
        <f>DATE(YEAR(BP60),MONTH(BP60)+3,DAY(BP60))</f>
        <v>43326</v>
      </c>
      <c r="BT60" s="110"/>
      <c r="BU60" s="202">
        <v>43344</v>
      </c>
      <c r="BV60" s="201">
        <f t="shared" si="208"/>
        <v>44075</v>
      </c>
      <c r="BW60" s="439"/>
      <c r="BX60" s="555"/>
      <c r="BY60" s="556"/>
      <c r="BZ60" s="556"/>
      <c r="CA60" s="556"/>
      <c r="CB60" s="214">
        <v>42649</v>
      </c>
      <c r="CC60" s="81"/>
      <c r="CD60" s="81"/>
      <c r="CE60" s="326" t="str">
        <f t="shared" si="229"/>
        <v>0</v>
      </c>
      <c r="CF60" s="81">
        <v>42901</v>
      </c>
      <c r="CG60" s="81">
        <v>42884</v>
      </c>
      <c r="CH60" s="326">
        <f t="shared" si="230"/>
        <v>-17</v>
      </c>
      <c r="CI60" s="214">
        <v>42814</v>
      </c>
      <c r="CJ60" s="214">
        <v>42881</v>
      </c>
      <c r="CK60" s="326">
        <f t="shared" si="231"/>
        <v>67</v>
      </c>
      <c r="CL60" s="341">
        <v>42972</v>
      </c>
      <c r="CM60" s="339">
        <f ca="1">IF(CL60&lt;TODAY(),TODAY(),CL60)</f>
        <v>43950</v>
      </c>
      <c r="CN60" s="326">
        <f t="shared" ca="1" si="232"/>
        <v>978</v>
      </c>
      <c r="CO60" s="341">
        <v>42972</v>
      </c>
      <c r="CP60" s="341">
        <f ca="1">IF(CO60&lt;TODAY(),TODAY(),CO60)</f>
        <v>43950</v>
      </c>
      <c r="CQ60" s="326">
        <f t="shared" ca="1" si="140"/>
        <v>978</v>
      </c>
      <c r="CR60" s="290"/>
      <c r="CS60" s="339">
        <v>43296</v>
      </c>
      <c r="CT60" s="337">
        <v>43074</v>
      </c>
      <c r="CU60" s="335">
        <f ca="1">IF(CT60&lt;TODAY(),TODAY(),CT60)</f>
        <v>43950</v>
      </c>
      <c r="CV60" s="332">
        <f t="shared" ca="1" si="157"/>
        <v>876</v>
      </c>
      <c r="CW60" s="337">
        <v>43081</v>
      </c>
      <c r="CX60" s="282">
        <v>43452</v>
      </c>
      <c r="CY60" s="283">
        <v>2018</v>
      </c>
      <c r="CZ60" s="288">
        <f t="shared" si="240"/>
        <v>14.9</v>
      </c>
      <c r="DA60" s="332">
        <f t="shared" si="209"/>
        <v>371</v>
      </c>
      <c r="DB60" s="179">
        <v>7</v>
      </c>
      <c r="DC60" s="76">
        <f t="shared" si="210"/>
        <v>15</v>
      </c>
      <c r="DD60" s="330"/>
      <c r="DE60" s="335">
        <f ca="1">IF(DD60&lt;TODAY(),TODAY(),DD60)</f>
        <v>43950</v>
      </c>
      <c r="DF60" s="332" t="str">
        <f t="shared" ca="1" si="233"/>
        <v>0</v>
      </c>
      <c r="DG60" s="330"/>
      <c r="DH60" s="335">
        <f t="shared" ca="1" si="211"/>
        <v>43950</v>
      </c>
      <c r="DI60" s="396" t="str">
        <f t="shared" ca="1" si="212"/>
        <v>0</v>
      </c>
      <c r="DJ60" s="335"/>
      <c r="DK60" s="348">
        <f t="shared" ca="1" si="213"/>
        <v>43950</v>
      </c>
      <c r="DL60" s="332" t="str">
        <f t="shared" ca="1" si="214"/>
        <v>0</v>
      </c>
      <c r="DM60" s="335">
        <v>43500</v>
      </c>
      <c r="DN60" s="335">
        <f t="shared" ca="1" si="215"/>
        <v>43950</v>
      </c>
      <c r="DO60" s="332">
        <f t="shared" ca="1" si="216"/>
        <v>450</v>
      </c>
      <c r="DP60" s="336"/>
      <c r="DQ60" s="336"/>
      <c r="DR60" s="332" t="str">
        <f t="shared" si="217"/>
        <v>0</v>
      </c>
      <c r="DS60" s="335"/>
      <c r="DT60" s="335">
        <f t="shared" ca="1" si="218"/>
        <v>43950</v>
      </c>
      <c r="DU60" s="332" t="str">
        <f t="shared" ca="1" si="219"/>
        <v>0</v>
      </c>
      <c r="DV60" s="335">
        <v>43577</v>
      </c>
      <c r="DW60" s="335">
        <f t="shared" ca="1" si="220"/>
        <v>43950</v>
      </c>
      <c r="DX60" s="332">
        <f t="shared" ca="1" si="221"/>
        <v>373</v>
      </c>
      <c r="DY60" s="335"/>
      <c r="DZ60" s="335"/>
      <c r="EA60" s="335"/>
      <c r="EB60" s="477">
        <f t="shared" si="227"/>
        <v>43664</v>
      </c>
      <c r="EC60" s="476">
        <v>43936</v>
      </c>
      <c r="ED60" s="473">
        <f t="shared" si="142"/>
        <v>9.0666666666666664</v>
      </c>
      <c r="EE60" s="622">
        <f t="shared" ca="1" si="228"/>
        <v>0</v>
      </c>
      <c r="EF60" s="780">
        <f t="shared" ca="1" si="202"/>
        <v>44680</v>
      </c>
      <c r="EG60" s="535"/>
      <c r="EH60" s="526"/>
      <c r="EI60" s="128"/>
      <c r="EJ60" s="295"/>
      <c r="EK60" s="534">
        <f>DATE(YEAR(EB60),MONTH(EB60)+1,DAY(EB60))</f>
        <v>43695</v>
      </c>
      <c r="EL60" s="476">
        <f t="shared" si="241"/>
        <v>43966</v>
      </c>
      <c r="EM60" s="368"/>
      <c r="EN60" s="471">
        <f>(EL60-EK60)/30</f>
        <v>9.0333333333333332</v>
      </c>
      <c r="EO60" s="462"/>
      <c r="EP60" s="38">
        <f t="shared" si="158"/>
        <v>0</v>
      </c>
      <c r="EQ60" s="77"/>
      <c r="ER60" s="353">
        <v>0</v>
      </c>
      <c r="ES60" s="353">
        <v>31250</v>
      </c>
      <c r="ET60" s="353"/>
      <c r="EU60" s="353"/>
      <c r="EV60" s="353"/>
      <c r="EW60" s="483">
        <f t="shared" si="159"/>
        <v>0</v>
      </c>
      <c r="EX60" s="350"/>
      <c r="EY60" s="362"/>
      <c r="EZ60" s="362" t="s">
        <v>932</v>
      </c>
      <c r="FA60" s="423" t="s">
        <v>827</v>
      </c>
      <c r="FB60" s="126">
        <f t="shared" ca="1" si="234"/>
        <v>44680</v>
      </c>
      <c r="FC60" s="80"/>
      <c r="FD60" s="80"/>
      <c r="FE60" s="80"/>
      <c r="FF60" s="80"/>
      <c r="FG60" s="80"/>
      <c r="FH60" s="31"/>
      <c r="FI60" s="194">
        <f t="shared" si="201"/>
        <v>44301</v>
      </c>
      <c r="FJ60" s="194"/>
      <c r="FK60" s="31"/>
      <c r="FL60" s="31"/>
      <c r="FM60" s="31"/>
      <c r="FN60" s="31"/>
      <c r="FO60" s="31"/>
      <c r="FP60" s="31"/>
      <c r="FQ60" s="31"/>
      <c r="FR60" s="31"/>
      <c r="FS60" s="31"/>
      <c r="FT60" s="31"/>
      <c r="FU60" s="31"/>
      <c r="FV60" s="31"/>
      <c r="FW60" s="31"/>
      <c r="FX60" s="529"/>
      <c r="FY60" s="652">
        <f t="shared" si="145"/>
        <v>263550</v>
      </c>
      <c r="FZ60" s="550">
        <f t="shared" si="146"/>
        <v>263550</v>
      </c>
      <c r="GA60" s="45"/>
      <c r="GB60" s="602">
        <f>GM60+GN60+GR60</f>
        <v>20940</v>
      </c>
      <c r="GC60" s="28" t="e">
        <f t="shared" si="147"/>
        <v>#DIV/0!</v>
      </c>
      <c r="GD60" s="28">
        <f t="shared" si="161"/>
        <v>43925</v>
      </c>
      <c r="GE60" s="45"/>
      <c r="GF60" s="417"/>
      <c r="GG60" s="28" t="e">
        <f>#REF!/AD60</f>
        <v>#REF!</v>
      </c>
      <c r="GH60" s="45">
        <v>82610</v>
      </c>
      <c r="GI60" s="267"/>
      <c r="GJ60" s="267"/>
      <c r="GK60" s="407">
        <f t="shared" si="163"/>
        <v>13768.333333333334</v>
      </c>
      <c r="GL60" s="49">
        <v>100000</v>
      </c>
      <c r="GM60" s="45">
        <v>10920</v>
      </c>
      <c r="GN60" s="45"/>
      <c r="GO60" s="23">
        <f t="shared" si="148"/>
        <v>4.1434262948207172E-2</v>
      </c>
      <c r="GP60" s="45">
        <v>60000</v>
      </c>
      <c r="GQ60" s="45"/>
      <c r="GR60" s="45">
        <f>1680+8340</f>
        <v>10020</v>
      </c>
      <c r="GS60" s="28">
        <f t="shared" si="222"/>
        <v>1820</v>
      </c>
      <c r="GT60" s="28">
        <f t="shared" si="223"/>
        <v>1820</v>
      </c>
      <c r="GU60" s="682"/>
      <c r="GV60" s="682"/>
      <c r="GW60" s="680" t="e">
        <f>(#REF!+#REF!+GV60)/AD60</f>
        <v>#REF!</v>
      </c>
      <c r="GX60" s="682"/>
      <c r="GY60" s="680">
        <f t="shared" si="224"/>
        <v>1820</v>
      </c>
      <c r="GZ60" s="681" t="e">
        <f>(#REF!+#REF!+GV60+GX60)/(GU60+#REF!-HA60)</f>
        <v>#REF!</v>
      </c>
      <c r="HA60" s="682"/>
      <c r="HB60" s="682"/>
      <c r="HC60" s="45"/>
      <c r="HD60" s="602">
        <v>74757.429999999993</v>
      </c>
      <c r="HE60" s="608">
        <f t="shared" si="225"/>
        <v>0.28365558717510908</v>
      </c>
      <c r="HF60" s="602">
        <f t="shared" si="226"/>
        <v>188792.57</v>
      </c>
      <c r="HG60" s="602">
        <f t="shared" ca="1" si="235"/>
        <v>188792.57</v>
      </c>
      <c r="HH60" s="608">
        <f ca="1">(HD60+HG60)/FZ60</f>
        <v>1</v>
      </c>
      <c r="HI60" s="602"/>
      <c r="HJ60" s="602">
        <f t="shared" si="237"/>
        <v>20940</v>
      </c>
      <c r="HK60" s="602">
        <f t="shared" si="238"/>
        <v>0</v>
      </c>
      <c r="HL60" s="602"/>
      <c r="HM60" s="673"/>
      <c r="HN60" s="62"/>
      <c r="HO60" s="673"/>
      <c r="HP60" s="673">
        <f t="shared" si="236"/>
        <v>0</v>
      </c>
      <c r="HQ60" s="539"/>
      <c r="HR60" s="539"/>
      <c r="HS60" s="539"/>
      <c r="HT60" s="539"/>
      <c r="HU60" s="539"/>
      <c r="HV60" s="673"/>
      <c r="HW60" s="673">
        <f t="shared" si="199"/>
        <v>0</v>
      </c>
      <c r="HX60" s="539"/>
    </row>
    <row r="61" spans="1:232" ht="51.75" customHeight="1">
      <c r="A61" s="843" t="s">
        <v>671</v>
      </c>
      <c r="B61" s="31" t="s">
        <v>80</v>
      </c>
      <c r="C61" s="31" t="s">
        <v>92</v>
      </c>
      <c r="D61" s="31">
        <v>2017</v>
      </c>
      <c r="E61" s="31" t="s">
        <v>395</v>
      </c>
      <c r="F61" s="31" t="s">
        <v>40</v>
      </c>
      <c r="G61" s="31" t="s">
        <v>337</v>
      </c>
      <c r="H61" s="31" t="s">
        <v>138</v>
      </c>
      <c r="I61" s="31"/>
      <c r="J61" s="31" t="s">
        <v>293</v>
      </c>
      <c r="K61" s="207"/>
      <c r="L61" s="114"/>
      <c r="M61" s="115"/>
      <c r="N61" s="116"/>
      <c r="O61" s="142">
        <v>4801</v>
      </c>
      <c r="P61" s="142">
        <v>473822</v>
      </c>
      <c r="Q61" s="142">
        <v>473822</v>
      </c>
      <c r="R61" s="142">
        <f>P61/AD61</f>
        <v>15794.066666666668</v>
      </c>
      <c r="S61" s="142">
        <f>P61/O61</f>
        <v>98.692355759216824</v>
      </c>
      <c r="T61" s="148">
        <f>Q61/O61</f>
        <v>98.692355759216824</v>
      </c>
      <c r="U61" s="148">
        <f>Q61/AK61</f>
        <v>277.36300788498573</v>
      </c>
      <c r="V61" s="148">
        <f>Q61/AD61</f>
        <v>15794.066666666668</v>
      </c>
      <c r="W61" s="142">
        <f>O61/AD61</f>
        <v>160.03333333333333</v>
      </c>
      <c r="X61" s="143"/>
      <c r="Y61" s="522">
        <f t="shared" si="206"/>
        <v>62.486981878775254</v>
      </c>
      <c r="Z61" s="143"/>
      <c r="AA61" s="143"/>
      <c r="AB61" s="144"/>
      <c r="AC61" s="31" t="s">
        <v>10</v>
      </c>
      <c r="AD61" s="493">
        <f t="shared" si="131"/>
        <v>30</v>
      </c>
      <c r="AE61" s="493">
        <f t="shared" si="207"/>
        <v>30</v>
      </c>
      <c r="AF61" s="42"/>
      <c r="AG61" s="31">
        <v>30</v>
      </c>
      <c r="AH61" s="42"/>
      <c r="AI61" s="7"/>
      <c r="AJ61" s="796">
        <v>1699.31</v>
      </c>
      <c r="AK61" s="276">
        <v>1708.31</v>
      </c>
      <c r="AL61" s="586">
        <f t="shared" si="133"/>
        <v>56.643666666666668</v>
      </c>
      <c r="AM61" s="8">
        <f t="shared" si="134"/>
        <v>56.943666666666665</v>
      </c>
      <c r="AN61" s="35">
        <v>5.89</v>
      </c>
      <c r="AO61" s="35">
        <v>5.86</v>
      </c>
      <c r="AP61" s="35">
        <v>333.5</v>
      </c>
      <c r="AQ61" s="53"/>
      <c r="AR61" s="53"/>
      <c r="AS61" s="53"/>
      <c r="AT61" s="53"/>
      <c r="AU61" s="53"/>
      <c r="AV61" s="35"/>
      <c r="AW61" s="51"/>
      <c r="AX61" s="53"/>
      <c r="AY61" s="35">
        <v>3</v>
      </c>
      <c r="AZ61" s="34" t="s">
        <v>398</v>
      </c>
      <c r="BA61" s="31" t="s">
        <v>99</v>
      </c>
      <c r="BB61" s="37">
        <v>3564776</v>
      </c>
      <c r="BC61" s="504">
        <f>BB61/AJ61</f>
        <v>2097.7785101011586</v>
      </c>
      <c r="BD61" s="505">
        <f>BB61/AK61</f>
        <v>2086.7266479737286</v>
      </c>
      <c r="BE61" s="392">
        <f>BB61/AD61</f>
        <v>118825.86666666667</v>
      </c>
      <c r="BF61" s="31"/>
      <c r="BG61" s="31"/>
      <c r="BH61" s="31"/>
      <c r="BI61" s="31"/>
      <c r="BJ61" s="660">
        <v>42824</v>
      </c>
      <c r="BK61" s="660">
        <v>42909</v>
      </c>
      <c r="BL61" s="661"/>
      <c r="BM61" s="659">
        <f t="shared" si="135"/>
        <v>2.8333333333333335</v>
      </c>
      <c r="BN61" s="578" t="s">
        <v>235</v>
      </c>
      <c r="BO61" s="110">
        <v>42967</v>
      </c>
      <c r="BP61" s="138">
        <v>43017</v>
      </c>
      <c r="BQ61" s="655">
        <f t="shared" si="239"/>
        <v>1.6666666666666667</v>
      </c>
      <c r="BR61" s="638">
        <v>69522</v>
      </c>
      <c r="BS61" s="110">
        <v>43014</v>
      </c>
      <c r="BT61" s="110"/>
      <c r="BU61" s="202">
        <v>43045</v>
      </c>
      <c r="BV61" s="201">
        <f t="shared" si="208"/>
        <v>43775</v>
      </c>
      <c r="BW61" s="439">
        <f>10647+79675</f>
        <v>90322</v>
      </c>
      <c r="BX61" s="201" t="str">
        <f>IF(EL61&gt;BV61,"oui","non")</f>
        <v>oui</v>
      </c>
      <c r="BY61" s="557">
        <f>(BV61-EL61)/30</f>
        <v>-7.4</v>
      </c>
      <c r="BZ61" s="439" t="str">
        <f>IF((BY61*EO61)&lt;0,"0",BY61*EO61)</f>
        <v>0</v>
      </c>
      <c r="CA61" s="439">
        <f>BW61-BZ61</f>
        <v>90322</v>
      </c>
      <c r="CB61" s="279"/>
      <c r="CC61" s="81"/>
      <c r="CD61" s="81"/>
      <c r="CE61" s="326" t="str">
        <f t="shared" si="229"/>
        <v>0</v>
      </c>
      <c r="CF61" s="81">
        <v>42772</v>
      </c>
      <c r="CG61" s="81">
        <v>42731</v>
      </c>
      <c r="CH61" s="326">
        <f t="shared" si="230"/>
        <v>-41</v>
      </c>
      <c r="CI61" s="214"/>
      <c r="CJ61" s="214"/>
      <c r="CK61" s="326" t="str">
        <f t="shared" si="231"/>
        <v>0</v>
      </c>
      <c r="CL61" s="81"/>
      <c r="CM61" s="81"/>
      <c r="CN61" s="326" t="str">
        <f t="shared" si="232"/>
        <v>0</v>
      </c>
      <c r="CO61" s="81"/>
      <c r="CP61" s="81"/>
      <c r="CQ61" s="326" t="str">
        <f t="shared" si="140"/>
        <v>0</v>
      </c>
      <c r="CR61" s="290"/>
      <c r="CS61" s="280"/>
      <c r="CT61" s="214">
        <v>43069</v>
      </c>
      <c r="CU61" s="81">
        <v>43073</v>
      </c>
      <c r="CV61" s="326">
        <f t="shared" si="157"/>
        <v>4</v>
      </c>
      <c r="CW61" s="163">
        <v>43080</v>
      </c>
      <c r="CX61" s="282">
        <v>43101</v>
      </c>
      <c r="CY61" s="283">
        <v>2018</v>
      </c>
      <c r="CZ61" s="288">
        <f t="shared" si="240"/>
        <v>6.4</v>
      </c>
      <c r="DA61" s="326">
        <f t="shared" si="209"/>
        <v>21</v>
      </c>
      <c r="DB61" s="179">
        <v>15</v>
      </c>
      <c r="DC61" s="76">
        <f t="shared" si="210"/>
        <v>28</v>
      </c>
      <c r="DD61" s="279"/>
      <c r="DE61" s="81">
        <v>43145</v>
      </c>
      <c r="DF61" s="326" t="str">
        <f t="shared" si="233"/>
        <v>0</v>
      </c>
      <c r="DG61" s="279"/>
      <c r="DH61" s="395">
        <v>43145</v>
      </c>
      <c r="DI61" s="329" t="str">
        <f t="shared" si="212"/>
        <v>0</v>
      </c>
      <c r="DJ61" s="335">
        <v>43554</v>
      </c>
      <c r="DK61" s="847">
        <f t="shared" ca="1" si="213"/>
        <v>43950</v>
      </c>
      <c r="DL61" s="332">
        <f t="shared" ca="1" si="214"/>
        <v>396</v>
      </c>
      <c r="DM61" s="337">
        <v>43585</v>
      </c>
      <c r="DN61" s="335">
        <f t="shared" ca="1" si="215"/>
        <v>43950</v>
      </c>
      <c r="DO61" s="332">
        <f t="shared" ca="1" si="216"/>
        <v>365</v>
      </c>
      <c r="DP61" s="424">
        <v>43585</v>
      </c>
      <c r="DQ61" s="335">
        <f ca="1">IF(DP61&lt;TODAY(),TODAY(),DP61)</f>
        <v>43950</v>
      </c>
      <c r="DR61" s="332">
        <f t="shared" ca="1" si="217"/>
        <v>365</v>
      </c>
      <c r="DS61" s="335">
        <v>43615</v>
      </c>
      <c r="DT61" s="335">
        <f t="shared" ca="1" si="218"/>
        <v>43950</v>
      </c>
      <c r="DU61" s="332">
        <f t="shared" ca="1" si="219"/>
        <v>335</v>
      </c>
      <c r="DV61" s="335">
        <v>43676</v>
      </c>
      <c r="DW61" s="335">
        <f t="shared" ca="1" si="220"/>
        <v>43950</v>
      </c>
      <c r="DX61" s="332">
        <f t="shared" ca="1" si="221"/>
        <v>274</v>
      </c>
      <c r="DY61" s="335"/>
      <c r="DZ61" s="335"/>
      <c r="EA61" s="335"/>
      <c r="EB61" s="477">
        <f>DATE(YEAR(CX61),MONTH(CX61)+14,DAY(CX61))</f>
        <v>43525</v>
      </c>
      <c r="EC61" s="476">
        <v>43966</v>
      </c>
      <c r="ED61" s="473">
        <f t="shared" si="142"/>
        <v>14.7</v>
      </c>
      <c r="EE61" s="735">
        <f t="shared" ca="1" si="228"/>
        <v>0.53333333333333333</v>
      </c>
      <c r="EF61" s="736">
        <f t="shared" si="202"/>
        <v>43875</v>
      </c>
      <c r="EG61" s="851">
        <v>43868</v>
      </c>
      <c r="EH61" s="215">
        <v>43392</v>
      </c>
      <c r="EI61" s="128"/>
      <c r="EJ61" s="295"/>
      <c r="EK61" s="534">
        <v>43769</v>
      </c>
      <c r="EL61" s="476">
        <f t="shared" si="241"/>
        <v>43997</v>
      </c>
      <c r="EM61" s="368"/>
      <c r="EN61" s="471">
        <f>(DATEDIF(EK61,EL61,"d"))/30</f>
        <v>7.6</v>
      </c>
      <c r="EO61" s="462">
        <v>6939.2816730000004</v>
      </c>
      <c r="EP61" s="38">
        <f t="shared" si="158"/>
        <v>52738.540714800001</v>
      </c>
      <c r="EQ61" s="833">
        <f>EO61*3</f>
        <v>20817.845019</v>
      </c>
      <c r="ER61" s="353">
        <v>0</v>
      </c>
      <c r="ES61" s="353">
        <v>0</v>
      </c>
      <c r="ET61" s="353">
        <v>0</v>
      </c>
      <c r="EU61" s="353"/>
      <c r="EV61" s="482">
        <v>0</v>
      </c>
      <c r="EW61" s="483">
        <f t="shared" si="159"/>
        <v>0</v>
      </c>
      <c r="EX61" s="355"/>
      <c r="EY61" s="370"/>
      <c r="EZ61" s="852" t="s">
        <v>929</v>
      </c>
      <c r="FA61" s="853"/>
      <c r="FB61" s="126">
        <f t="shared" si="234"/>
        <v>43875</v>
      </c>
      <c r="FC61" s="80"/>
      <c r="FD61" s="80"/>
      <c r="FE61" s="80"/>
      <c r="FF61" s="80"/>
      <c r="FG61" s="80"/>
      <c r="FH61" s="31"/>
      <c r="FI61" s="831">
        <f t="shared" si="201"/>
        <v>44331</v>
      </c>
      <c r="FJ61" s="194"/>
      <c r="FK61" s="31"/>
      <c r="FL61" s="31"/>
      <c r="FM61" s="31"/>
      <c r="FN61" s="31"/>
      <c r="FO61" s="31"/>
      <c r="FP61" s="31"/>
      <c r="FQ61" s="31"/>
      <c r="FR61" s="31"/>
      <c r="FS61" s="31"/>
      <c r="FT61" s="31"/>
      <c r="FU61" s="31"/>
      <c r="FV61" s="31"/>
      <c r="FW61" s="31"/>
      <c r="FX61" s="529"/>
      <c r="FY61" s="652">
        <f t="shared" si="145"/>
        <v>3933421.67</v>
      </c>
      <c r="FZ61" s="550">
        <f t="shared" si="146"/>
        <v>3933421.67</v>
      </c>
      <c r="GA61" s="500">
        <f>FZ61</f>
        <v>3933421.67</v>
      </c>
      <c r="GB61" s="610">
        <f>GM61+GN61+GR61+GQ61+GV61+GX61</f>
        <v>700000</v>
      </c>
      <c r="GC61" s="28">
        <f t="shared" si="147"/>
        <v>2302.5221827420082</v>
      </c>
      <c r="GD61" s="28">
        <f t="shared" si="161"/>
        <v>131114.05566666665</v>
      </c>
      <c r="GE61" s="45">
        <v>1133134.67</v>
      </c>
      <c r="GF61" s="417">
        <v>1181624</v>
      </c>
      <c r="GG61" s="61">
        <f>GE61/AD61</f>
        <v>37771.155666666666</v>
      </c>
      <c r="GH61" s="45">
        <f>GI61+GJ61</f>
        <v>2100287</v>
      </c>
      <c r="GI61" s="59">
        <v>459254</v>
      </c>
      <c r="GJ61" s="59">
        <v>1641033</v>
      </c>
      <c r="GK61" s="407">
        <f t="shared" si="163"/>
        <v>70009.566666666666</v>
      </c>
      <c r="GL61" s="45"/>
      <c r="GM61" s="45">
        <v>700000</v>
      </c>
      <c r="GN61" s="45"/>
      <c r="GO61" s="23">
        <f t="shared" si="148"/>
        <v>0.17796210493750597</v>
      </c>
      <c r="GP61" s="60"/>
      <c r="GQ61" s="60"/>
      <c r="GR61" s="45"/>
      <c r="GS61" s="28">
        <f t="shared" si="222"/>
        <v>23333.333333333332</v>
      </c>
      <c r="GT61" s="28">
        <f t="shared" si="223"/>
        <v>61104.488999999994</v>
      </c>
      <c r="GU61" s="682"/>
      <c r="GV61" s="682"/>
      <c r="GW61" s="680">
        <f>(GE61+GM61+GV61)/AD61</f>
        <v>61104.488999999994</v>
      </c>
      <c r="GX61" s="682"/>
      <c r="GY61" s="680">
        <f t="shared" si="224"/>
        <v>61104.488999999994</v>
      </c>
      <c r="GZ61" s="681">
        <f>(GE61+GM61+GV61+GX61)/(GU61+FZ61-HA61)</f>
        <v>0.46604072072445768</v>
      </c>
      <c r="HA61" s="682"/>
      <c r="HB61" s="682"/>
      <c r="HC61" s="45">
        <f>ES61</f>
        <v>0</v>
      </c>
      <c r="HD61" s="610">
        <v>2469528.8628699998</v>
      </c>
      <c r="HE61" s="608">
        <f t="shared" si="225"/>
        <v>0.6278322209146725</v>
      </c>
      <c r="HF61" s="616">
        <f t="shared" si="226"/>
        <v>1463892.8071300001</v>
      </c>
      <c r="HG61" s="602">
        <f t="shared" ca="1" si="235"/>
        <v>1463892.8071300001</v>
      </c>
      <c r="HH61" s="608">
        <f ca="1">(HG61+HD61)/FZ61</f>
        <v>1</v>
      </c>
      <c r="HI61" s="602">
        <f>'[1]GLOBAL OPERATION'!$AG$87</f>
        <v>0</v>
      </c>
      <c r="HJ61" s="602">
        <f t="shared" si="237"/>
        <v>700000</v>
      </c>
      <c r="HK61" s="608">
        <f t="shared" si="238"/>
        <v>0</v>
      </c>
      <c r="HL61" s="608"/>
      <c r="HM61" s="673"/>
      <c r="HN61" s="62"/>
      <c r="HO61" s="673"/>
      <c r="HP61" s="673">
        <f t="shared" si="236"/>
        <v>0</v>
      </c>
      <c r="HQ61" s="539"/>
      <c r="HR61" s="539"/>
      <c r="HS61" s="539"/>
      <c r="HT61" s="539"/>
      <c r="HU61" s="539"/>
      <c r="HV61" s="673"/>
      <c r="HW61" s="673">
        <f t="shared" si="199"/>
        <v>0</v>
      </c>
      <c r="HX61" s="539"/>
    </row>
    <row r="62" spans="1:232" ht="53.25" customHeight="1">
      <c r="A62" s="510" t="s">
        <v>314</v>
      </c>
      <c r="B62" s="31" t="s">
        <v>21</v>
      </c>
      <c r="C62" s="31" t="s">
        <v>90</v>
      </c>
      <c r="D62" s="31">
        <v>2017</v>
      </c>
      <c r="E62" s="31"/>
      <c r="F62" s="31" t="s">
        <v>309</v>
      </c>
      <c r="G62" s="31" t="s">
        <v>142</v>
      </c>
      <c r="H62" s="31" t="s">
        <v>138</v>
      </c>
      <c r="I62" s="31"/>
      <c r="J62" s="31" t="s">
        <v>315</v>
      </c>
      <c r="K62" s="180" t="s">
        <v>370</v>
      </c>
      <c r="L62" s="114"/>
      <c r="M62" s="115"/>
      <c r="N62" s="116"/>
      <c r="O62" s="159"/>
      <c r="P62" s="159"/>
      <c r="Q62" s="159"/>
      <c r="R62" s="159"/>
      <c r="S62" s="159"/>
      <c r="T62" s="386"/>
      <c r="U62" s="386"/>
      <c r="V62" s="386"/>
      <c r="W62" s="159"/>
      <c r="X62" s="143"/>
      <c r="Y62" s="525" t="e">
        <f t="shared" si="206"/>
        <v>#DIV/0!</v>
      </c>
      <c r="Z62" s="143"/>
      <c r="AA62" s="143"/>
      <c r="AB62" s="144"/>
      <c r="AC62" s="31" t="s">
        <v>308</v>
      </c>
      <c r="AD62" s="493">
        <f t="shared" si="131"/>
        <v>74</v>
      </c>
      <c r="AE62" s="493">
        <f t="shared" si="207"/>
        <v>0</v>
      </c>
      <c r="AF62" s="42"/>
      <c r="AG62" s="42"/>
      <c r="AH62" s="42"/>
      <c r="AI62" s="131">
        <v>74</v>
      </c>
      <c r="AJ62" s="796"/>
      <c r="AK62" s="276"/>
      <c r="AL62" s="586">
        <f t="shared" si="133"/>
        <v>0</v>
      </c>
      <c r="AM62" s="8">
        <f t="shared" si="134"/>
        <v>0</v>
      </c>
      <c r="AN62" s="35"/>
      <c r="AO62" s="35"/>
      <c r="AP62" s="35"/>
      <c r="AQ62" s="53"/>
      <c r="AR62" s="53"/>
      <c r="AS62" s="53"/>
      <c r="AT62" s="53"/>
      <c r="AU62" s="53"/>
      <c r="AV62" s="35"/>
      <c r="AW62" s="51"/>
      <c r="AX62" s="53"/>
      <c r="AY62" s="35"/>
      <c r="AZ62" s="31"/>
      <c r="BA62" s="31"/>
      <c r="BB62" s="31"/>
      <c r="BC62" s="31"/>
      <c r="BD62" s="31"/>
      <c r="BE62" s="31"/>
      <c r="BF62" s="31"/>
      <c r="BG62" s="31"/>
      <c r="BH62" s="31"/>
      <c r="BI62" s="31"/>
      <c r="BJ62" s="660">
        <v>42824</v>
      </c>
      <c r="BK62" s="660">
        <v>43039</v>
      </c>
      <c r="BL62" s="661"/>
      <c r="BM62" s="659">
        <f t="shared" si="135"/>
        <v>7.166666666666667</v>
      </c>
      <c r="BN62" s="578"/>
      <c r="BO62" s="110">
        <v>43081</v>
      </c>
      <c r="BP62" s="138">
        <v>43235</v>
      </c>
      <c r="BQ62" s="655">
        <f t="shared" si="239"/>
        <v>5.1333333333333337</v>
      </c>
      <c r="BR62" s="638">
        <v>78078</v>
      </c>
      <c r="BS62" s="110">
        <f>DATE(YEAR(BP62),MONTH(BP62)+3,DAY(BP62))</f>
        <v>43327</v>
      </c>
      <c r="BT62" s="110"/>
      <c r="BU62" s="202">
        <v>43344</v>
      </c>
      <c r="BV62" s="201">
        <f t="shared" si="208"/>
        <v>44075</v>
      </c>
      <c r="BW62" s="439"/>
      <c r="BX62" s="555"/>
      <c r="BY62" s="556"/>
      <c r="BZ62" s="556"/>
      <c r="CA62" s="556"/>
      <c r="CB62" s="214">
        <v>42632</v>
      </c>
      <c r="CC62" s="81"/>
      <c r="CD62" s="81"/>
      <c r="CE62" s="326" t="str">
        <f t="shared" si="229"/>
        <v>0</v>
      </c>
      <c r="CF62" s="81">
        <v>42870</v>
      </c>
      <c r="CG62" s="81">
        <v>42879</v>
      </c>
      <c r="CH62" s="326">
        <f t="shared" si="230"/>
        <v>9</v>
      </c>
      <c r="CI62" s="214">
        <v>42814</v>
      </c>
      <c r="CJ62" s="214">
        <v>42851</v>
      </c>
      <c r="CK62" s="326">
        <f t="shared" si="231"/>
        <v>37</v>
      </c>
      <c r="CL62" s="81">
        <v>42874</v>
      </c>
      <c r="CM62" s="81">
        <v>42935</v>
      </c>
      <c r="CN62" s="326">
        <f t="shared" si="232"/>
        <v>61</v>
      </c>
      <c r="CO62" s="81">
        <v>42936</v>
      </c>
      <c r="CP62" s="81">
        <v>42935</v>
      </c>
      <c r="CQ62" s="326">
        <f t="shared" si="140"/>
        <v>-1</v>
      </c>
      <c r="CR62" s="290"/>
      <c r="CS62" s="346">
        <v>43249</v>
      </c>
      <c r="CT62" s="337">
        <v>43074</v>
      </c>
      <c r="CU62" s="335">
        <f ca="1">IF(CT62&lt;TODAY(),TODAY(),CT62)</f>
        <v>43950</v>
      </c>
      <c r="CV62" s="332">
        <f t="shared" ca="1" si="157"/>
        <v>876</v>
      </c>
      <c r="CW62" s="214">
        <v>43081</v>
      </c>
      <c r="CX62" s="282">
        <v>43355</v>
      </c>
      <c r="CY62" s="283">
        <v>2018</v>
      </c>
      <c r="CZ62" s="288">
        <f t="shared" si="240"/>
        <v>10.533333333333333</v>
      </c>
      <c r="DA62" s="448">
        <f t="shared" si="209"/>
        <v>274</v>
      </c>
      <c r="DB62" s="179">
        <v>12</v>
      </c>
      <c r="DC62" s="76">
        <f t="shared" si="210"/>
        <v>20</v>
      </c>
      <c r="DD62" s="330"/>
      <c r="DE62" s="335">
        <f ca="1">IF(DD62&lt;TODAY(),TODAY(),DD62)</f>
        <v>43950</v>
      </c>
      <c r="DF62" s="332" t="str">
        <f t="shared" ca="1" si="233"/>
        <v>0</v>
      </c>
      <c r="DG62" s="330"/>
      <c r="DH62" s="348">
        <f ca="1">IF(DG62&lt;TODAY(),TODAY(),DG62)</f>
        <v>43950</v>
      </c>
      <c r="DI62" s="396" t="str">
        <f t="shared" ca="1" si="212"/>
        <v>0</v>
      </c>
      <c r="DJ62" s="335"/>
      <c r="DK62" s="348">
        <f t="shared" ca="1" si="213"/>
        <v>43950</v>
      </c>
      <c r="DL62" s="332" t="str">
        <f t="shared" ca="1" si="214"/>
        <v>0</v>
      </c>
      <c r="DM62" s="335">
        <v>43496</v>
      </c>
      <c r="DN62" s="335">
        <f t="shared" ca="1" si="215"/>
        <v>43950</v>
      </c>
      <c r="DO62" s="332">
        <f t="shared" ca="1" si="216"/>
        <v>454</v>
      </c>
      <c r="DP62" s="336"/>
      <c r="DQ62" s="335"/>
      <c r="DR62" s="332" t="str">
        <f t="shared" si="217"/>
        <v>0</v>
      </c>
      <c r="DS62" s="335"/>
      <c r="DT62" s="335">
        <f t="shared" ca="1" si="218"/>
        <v>43950</v>
      </c>
      <c r="DU62" s="332" t="str">
        <f t="shared" ca="1" si="219"/>
        <v>0</v>
      </c>
      <c r="DV62" s="335">
        <v>43573</v>
      </c>
      <c r="DW62" s="335">
        <f t="shared" ca="1" si="220"/>
        <v>43950</v>
      </c>
      <c r="DX62" s="332">
        <f t="shared" ca="1" si="221"/>
        <v>377</v>
      </c>
      <c r="DY62" s="335"/>
      <c r="DZ62" s="335"/>
      <c r="EA62" s="335"/>
      <c r="EB62" s="477">
        <f>DATE(YEAR(CX62),MONTH(CX62)+DB62,DAY(CX62))</f>
        <v>43720</v>
      </c>
      <c r="EC62" s="476">
        <v>43966</v>
      </c>
      <c r="ED62" s="473">
        <f t="shared" si="142"/>
        <v>8.1999999999999993</v>
      </c>
      <c r="EE62" s="622">
        <f t="shared" ca="1" si="228"/>
        <v>0.53333333333333333</v>
      </c>
      <c r="EF62" s="780">
        <f t="shared" ca="1" si="202"/>
        <v>44680</v>
      </c>
      <c r="EG62" s="535"/>
      <c r="EH62" s="526"/>
      <c r="EI62" s="128"/>
      <c r="EJ62" s="295"/>
      <c r="EK62" s="534">
        <f t="shared" ref="EK62:EK96" si="242">DATE(YEAR(EB62),MONTH(EB62)+1,DAY(EB62))</f>
        <v>43750</v>
      </c>
      <c r="EL62" s="476">
        <f t="shared" si="241"/>
        <v>43997</v>
      </c>
      <c r="EM62" s="368"/>
      <c r="EN62" s="471">
        <f>(EL62-EK62)/30</f>
        <v>8.2333333333333325</v>
      </c>
      <c r="EO62" s="462"/>
      <c r="EP62" s="38">
        <f t="shared" si="158"/>
        <v>0</v>
      </c>
      <c r="EQ62" s="77"/>
      <c r="ER62" s="353">
        <v>0</v>
      </c>
      <c r="ES62" s="353">
        <v>0</v>
      </c>
      <c r="ET62" s="353">
        <v>111598</v>
      </c>
      <c r="EU62" s="353"/>
      <c r="EV62" s="353"/>
      <c r="EW62" s="483">
        <f t="shared" si="159"/>
        <v>0</v>
      </c>
      <c r="EX62" s="350"/>
      <c r="EY62" s="362"/>
      <c r="EZ62" s="658" t="s">
        <v>933</v>
      </c>
      <c r="FA62" s="423" t="s">
        <v>827</v>
      </c>
      <c r="FB62" s="126">
        <f t="shared" ca="1" si="234"/>
        <v>44680</v>
      </c>
      <c r="FC62" s="80"/>
      <c r="FD62" s="80"/>
      <c r="FE62" s="80"/>
      <c r="FF62" s="80"/>
      <c r="FG62" s="80"/>
      <c r="FH62" s="31"/>
      <c r="FI62" s="194">
        <f t="shared" si="201"/>
        <v>44331</v>
      </c>
      <c r="FJ62" s="194"/>
      <c r="FK62" s="31"/>
      <c r="FL62" s="31"/>
      <c r="FM62" s="31"/>
      <c r="FN62" s="31"/>
      <c r="FO62" s="31"/>
      <c r="FP62" s="31"/>
      <c r="FQ62" s="31"/>
      <c r="FR62" s="31"/>
      <c r="FS62" s="31"/>
      <c r="FT62" s="31"/>
      <c r="FU62" s="31"/>
      <c r="FV62" s="31"/>
      <c r="FW62" s="31"/>
      <c r="FX62" s="529"/>
      <c r="FY62" s="652">
        <f t="shared" si="145"/>
        <v>3419295</v>
      </c>
      <c r="FZ62" s="550">
        <f t="shared" si="146"/>
        <v>3419295</v>
      </c>
      <c r="GA62" s="267"/>
      <c r="GB62" s="602">
        <f>GM62+GN62+GR62</f>
        <v>464540</v>
      </c>
      <c r="GC62" s="267" t="e">
        <f t="shared" si="147"/>
        <v>#DIV/0!</v>
      </c>
      <c r="GD62" s="267">
        <f t="shared" si="161"/>
        <v>46206.689189189186</v>
      </c>
      <c r="GE62" s="45"/>
      <c r="GF62" s="781"/>
      <c r="GG62" s="267" t="e">
        <f>#REF!/AD62</f>
        <v>#REF!</v>
      </c>
      <c r="GH62" s="45">
        <v>2214755</v>
      </c>
      <c r="GI62" s="267"/>
      <c r="GJ62" s="267"/>
      <c r="GK62" s="408">
        <f t="shared" si="163"/>
        <v>29929.12162162162</v>
      </c>
      <c r="GL62" s="49"/>
      <c r="GM62" s="45">
        <v>462500</v>
      </c>
      <c r="GN62" s="45"/>
      <c r="GO62" s="23">
        <f t="shared" si="148"/>
        <v>0.13526180104378241</v>
      </c>
      <c r="GP62" s="45">
        <v>740000</v>
      </c>
      <c r="GQ62" s="45"/>
      <c r="GR62" s="45">
        <v>2040</v>
      </c>
      <c r="GS62" s="28">
        <f t="shared" si="222"/>
        <v>6250</v>
      </c>
      <c r="GT62" s="28">
        <f t="shared" si="223"/>
        <v>6250</v>
      </c>
      <c r="GU62" s="682"/>
      <c r="GV62" s="682"/>
      <c r="GW62" s="680" t="e">
        <f>(#REF!+#REF!+GV62)/AD62</f>
        <v>#REF!</v>
      </c>
      <c r="GX62" s="682"/>
      <c r="GY62" s="680">
        <f t="shared" si="224"/>
        <v>6250</v>
      </c>
      <c r="GZ62" s="681" t="e">
        <f>(#REF!+#REF!+GV62+GX62)/(GU62+#REF!-HA62)</f>
        <v>#REF!</v>
      </c>
      <c r="HA62" s="682"/>
      <c r="HB62" s="682"/>
      <c r="HC62" s="45"/>
      <c r="HD62" s="602">
        <v>896776.81884999992</v>
      </c>
      <c r="HE62" s="608">
        <f t="shared" si="225"/>
        <v>0.26226950843668062</v>
      </c>
      <c r="HF62" s="602">
        <f t="shared" si="226"/>
        <v>2522518.1811500001</v>
      </c>
      <c r="HG62" s="602">
        <f t="shared" ca="1" si="235"/>
        <v>2522518.1811500001</v>
      </c>
      <c r="HH62" s="608">
        <f ca="1">(HD62+HG62)/FZ62</f>
        <v>1</v>
      </c>
      <c r="HI62" s="602"/>
      <c r="HJ62" s="602">
        <f t="shared" si="237"/>
        <v>464540</v>
      </c>
      <c r="HK62" s="602">
        <f t="shared" si="238"/>
        <v>0</v>
      </c>
      <c r="HL62" s="602"/>
      <c r="HM62" s="673"/>
      <c r="HN62" s="269"/>
      <c r="HO62" s="673"/>
      <c r="HP62" s="673">
        <f t="shared" si="236"/>
        <v>0</v>
      </c>
      <c r="HQ62" s="539"/>
      <c r="HR62" s="539"/>
      <c r="HS62" s="539"/>
      <c r="HT62" s="539"/>
      <c r="HU62" s="539"/>
      <c r="HV62" s="673"/>
      <c r="HW62" s="673">
        <f t="shared" si="199"/>
        <v>0</v>
      </c>
      <c r="HX62" s="539"/>
    </row>
    <row r="63" spans="1:232" ht="56.25" customHeight="1">
      <c r="A63" s="510" t="s">
        <v>307</v>
      </c>
      <c r="B63" s="31" t="s">
        <v>14</v>
      </c>
      <c r="C63" s="31" t="s">
        <v>90</v>
      </c>
      <c r="D63" s="31">
        <v>2017</v>
      </c>
      <c r="E63" s="31"/>
      <c r="F63" s="31" t="s">
        <v>309</v>
      </c>
      <c r="G63" s="31" t="s">
        <v>606</v>
      </c>
      <c r="H63" s="31" t="s">
        <v>138</v>
      </c>
      <c r="I63" s="31"/>
      <c r="J63" s="31" t="s">
        <v>310</v>
      </c>
      <c r="K63" s="180" t="s">
        <v>367</v>
      </c>
      <c r="L63" s="114" t="s">
        <v>44</v>
      </c>
      <c r="M63" s="115" t="s">
        <v>342</v>
      </c>
      <c r="N63" s="116">
        <v>34914</v>
      </c>
      <c r="O63" s="159"/>
      <c r="P63" s="159"/>
      <c r="Q63" s="159"/>
      <c r="R63" s="159"/>
      <c r="S63" s="159"/>
      <c r="T63" s="386"/>
      <c r="U63" s="386"/>
      <c r="V63" s="386"/>
      <c r="W63" s="159"/>
      <c r="X63" s="143"/>
      <c r="Y63" s="525" t="e">
        <f t="shared" si="206"/>
        <v>#DIV/0!</v>
      </c>
      <c r="Z63" s="143"/>
      <c r="AA63" s="143"/>
      <c r="AB63" s="144"/>
      <c r="AC63" s="31" t="s">
        <v>308</v>
      </c>
      <c r="AD63" s="493">
        <f t="shared" ref="AD63:AD94" si="243">SUM(AF63:AI63)</f>
        <v>26</v>
      </c>
      <c r="AE63" s="493">
        <f t="shared" si="207"/>
        <v>0</v>
      </c>
      <c r="AF63" s="42"/>
      <c r="AG63" s="42"/>
      <c r="AH63" s="42"/>
      <c r="AI63" s="131">
        <v>26</v>
      </c>
      <c r="AJ63" s="796"/>
      <c r="AK63" s="278"/>
      <c r="AL63" s="586">
        <f t="shared" ref="AL63:AL94" si="244">AJ63/AD63</f>
        <v>0</v>
      </c>
      <c r="AM63" s="8">
        <f t="shared" ref="AM63:AM94" si="245">AK63/AD63</f>
        <v>0</v>
      </c>
      <c r="AN63" s="35"/>
      <c r="AO63" s="35"/>
      <c r="AP63" s="35"/>
      <c r="AQ63" s="53"/>
      <c r="AR63" s="53"/>
      <c r="AS63" s="53"/>
      <c r="AT63" s="53"/>
      <c r="AU63" s="53"/>
      <c r="AV63" s="35"/>
      <c r="AW63" s="51"/>
      <c r="AX63" s="53"/>
      <c r="AY63" s="35"/>
      <c r="AZ63" s="31"/>
      <c r="BA63" s="31"/>
      <c r="BB63" s="31"/>
      <c r="BC63" s="31"/>
      <c r="BD63" s="31"/>
      <c r="BE63" s="31"/>
      <c r="BF63" s="31"/>
      <c r="BG63" s="31"/>
      <c r="BH63" s="31"/>
      <c r="BI63" s="31"/>
      <c r="BJ63" s="660">
        <v>42824</v>
      </c>
      <c r="BK63" s="660">
        <v>43005</v>
      </c>
      <c r="BL63" s="661"/>
      <c r="BM63" s="659">
        <f t="shared" ref="BM63:BM94" si="246">(DATEDIF(BJ63,BK63,"d"))/30</f>
        <v>6.0333333333333332</v>
      </c>
      <c r="BN63" s="578"/>
      <c r="BO63" s="110">
        <v>43081</v>
      </c>
      <c r="BP63" s="138">
        <v>43235</v>
      </c>
      <c r="BQ63" s="655">
        <f t="shared" si="239"/>
        <v>5.1333333333333337</v>
      </c>
      <c r="BR63" s="638">
        <v>78080</v>
      </c>
      <c r="BS63" s="110">
        <f>DATE(YEAR(BP63),MONTH(BP63)+3,DAY(BP63))</f>
        <v>43327</v>
      </c>
      <c r="BT63" s="110"/>
      <c r="BU63" s="202">
        <v>43344</v>
      </c>
      <c r="BV63" s="201">
        <f t="shared" si="208"/>
        <v>44075</v>
      </c>
      <c r="BW63" s="439"/>
      <c r="BX63" s="555"/>
      <c r="BY63" s="556"/>
      <c r="BZ63" s="556"/>
      <c r="CA63" s="556"/>
      <c r="CB63" s="214">
        <v>42649</v>
      </c>
      <c r="CC63" s="81"/>
      <c r="CD63" s="81"/>
      <c r="CE63" s="326" t="str">
        <f t="shared" si="229"/>
        <v>0</v>
      </c>
      <c r="CF63" s="81">
        <v>42839</v>
      </c>
      <c r="CG63" s="81">
        <v>42879</v>
      </c>
      <c r="CH63" s="326">
        <f t="shared" si="230"/>
        <v>40</v>
      </c>
      <c r="CI63" s="214">
        <v>42814</v>
      </c>
      <c r="CJ63" s="214">
        <v>42793</v>
      </c>
      <c r="CK63" s="326">
        <f t="shared" si="231"/>
        <v>-21</v>
      </c>
      <c r="CL63" s="341">
        <v>42844</v>
      </c>
      <c r="CM63" s="339">
        <f ca="1">IF(CL63&lt;TODAY(),TODAY(),CL63)</f>
        <v>43950</v>
      </c>
      <c r="CN63" s="326">
        <f t="shared" ca="1" si="232"/>
        <v>1106</v>
      </c>
      <c r="CO63" s="341">
        <v>42965</v>
      </c>
      <c r="CP63" s="341">
        <f ca="1">IF(CO63&lt;TODAY(),TODAY(),CO63)</f>
        <v>43950</v>
      </c>
      <c r="CQ63" s="326">
        <f t="shared" ref="CQ63:CQ94" ca="1" si="247">IF(AND(CO63&gt;0,CP63&gt;0),CP63-CO63,"0")</f>
        <v>985</v>
      </c>
      <c r="CR63" s="290"/>
      <c r="CS63" s="346">
        <v>43249</v>
      </c>
      <c r="CT63" s="337">
        <v>43083</v>
      </c>
      <c r="CU63" s="335">
        <f ca="1">IF(CT63&lt;TODAY(),TODAY(),CT63)</f>
        <v>43950</v>
      </c>
      <c r="CV63" s="332">
        <f t="shared" ca="1" si="157"/>
        <v>867</v>
      </c>
      <c r="CW63" s="337">
        <v>43090</v>
      </c>
      <c r="CX63" s="237">
        <v>43363</v>
      </c>
      <c r="CY63" s="230">
        <v>2018</v>
      </c>
      <c r="CZ63" s="288">
        <f t="shared" si="240"/>
        <v>11.933333333333334</v>
      </c>
      <c r="DA63" s="332">
        <f t="shared" si="209"/>
        <v>273</v>
      </c>
      <c r="DB63" s="179">
        <v>12</v>
      </c>
      <c r="DC63" s="76">
        <f t="shared" si="210"/>
        <v>19</v>
      </c>
      <c r="DD63" s="330"/>
      <c r="DE63" s="335">
        <f ca="1">IF(DD63&lt;TODAY(),TODAY(),DD63)</f>
        <v>43950</v>
      </c>
      <c r="DF63" s="332" t="str">
        <f t="shared" ca="1" si="233"/>
        <v>0</v>
      </c>
      <c r="DG63" s="330"/>
      <c r="DH63" s="348">
        <f ca="1">IF(DG63&lt;TODAY(),TODAY(),DG63)</f>
        <v>43950</v>
      </c>
      <c r="DI63" s="396" t="str">
        <f t="shared" ca="1" si="212"/>
        <v>0</v>
      </c>
      <c r="DJ63" s="335"/>
      <c r="DK63" s="348">
        <f t="shared" ca="1" si="213"/>
        <v>43950</v>
      </c>
      <c r="DL63" s="332" t="str">
        <f t="shared" ca="1" si="214"/>
        <v>0</v>
      </c>
      <c r="DM63" s="335">
        <v>43501</v>
      </c>
      <c r="DN63" s="335">
        <f t="shared" ca="1" si="215"/>
        <v>43950</v>
      </c>
      <c r="DO63" s="332">
        <f t="shared" ca="1" si="216"/>
        <v>449</v>
      </c>
      <c r="DP63" s="336"/>
      <c r="DQ63" s="336"/>
      <c r="DR63" s="332" t="str">
        <f t="shared" si="217"/>
        <v>0</v>
      </c>
      <c r="DS63" s="335"/>
      <c r="DT63" s="335">
        <f t="shared" ca="1" si="218"/>
        <v>43950</v>
      </c>
      <c r="DU63" s="332" t="str">
        <f t="shared" ca="1" si="219"/>
        <v>0</v>
      </c>
      <c r="DV63" s="335">
        <v>43578</v>
      </c>
      <c r="DW63" s="335">
        <f t="shared" ca="1" si="220"/>
        <v>43950</v>
      </c>
      <c r="DX63" s="332">
        <f t="shared" ca="1" si="221"/>
        <v>372</v>
      </c>
      <c r="DY63" s="335"/>
      <c r="DZ63" s="335"/>
      <c r="EA63" s="335"/>
      <c r="EB63" s="477">
        <f>DATE(YEAR(CX63),MONTH(CX63)+DB63,DAY(CX63))</f>
        <v>43728</v>
      </c>
      <c r="EC63" s="476">
        <v>43966</v>
      </c>
      <c r="ED63" s="473">
        <f t="shared" ref="ED63:ED94" si="248">(EC63-EB63)/30</f>
        <v>7.9333333333333336</v>
      </c>
      <c r="EE63" s="622">
        <f t="shared" ca="1" si="228"/>
        <v>0.53333333333333333</v>
      </c>
      <c r="EF63" s="780">
        <f t="shared" ca="1" si="202"/>
        <v>44680</v>
      </c>
      <c r="EG63" s="535"/>
      <c r="EH63" s="526"/>
      <c r="EI63" s="128"/>
      <c r="EJ63" s="295"/>
      <c r="EK63" s="534">
        <f t="shared" si="242"/>
        <v>43758</v>
      </c>
      <c r="EL63" s="476">
        <f t="shared" si="241"/>
        <v>43997</v>
      </c>
      <c r="EM63" s="368"/>
      <c r="EN63" s="471">
        <f>(EL63-EK63)/30</f>
        <v>7.9666666666666668</v>
      </c>
      <c r="EO63" s="461"/>
      <c r="EP63" s="38">
        <f t="shared" si="158"/>
        <v>0</v>
      </c>
      <c r="EQ63" s="77"/>
      <c r="ER63" s="353">
        <v>0</v>
      </c>
      <c r="ES63" s="353">
        <v>0</v>
      </c>
      <c r="ET63" s="353"/>
      <c r="EU63" s="353"/>
      <c r="EV63" s="353"/>
      <c r="EW63" s="483">
        <f t="shared" si="159"/>
        <v>0</v>
      </c>
      <c r="EX63" s="350"/>
      <c r="EY63" s="362"/>
      <c r="EZ63" s="658" t="s">
        <v>931</v>
      </c>
      <c r="FA63" s="423" t="s">
        <v>827</v>
      </c>
      <c r="FB63" s="126">
        <f t="shared" ca="1" si="234"/>
        <v>44680</v>
      </c>
      <c r="FC63" s="80"/>
      <c r="FD63" s="80"/>
      <c r="FE63" s="80"/>
      <c r="FF63" s="80"/>
      <c r="FG63" s="80"/>
      <c r="FH63" s="31"/>
      <c r="FI63" s="194">
        <f t="shared" si="201"/>
        <v>44331</v>
      </c>
      <c r="FJ63" s="194"/>
      <c r="FK63" s="31"/>
      <c r="FL63" s="31"/>
      <c r="FM63" s="31"/>
      <c r="FN63" s="31"/>
      <c r="FO63" s="31"/>
      <c r="FP63" s="31"/>
      <c r="FQ63" s="31"/>
      <c r="FR63" s="31"/>
      <c r="FS63" s="31"/>
      <c r="FT63" s="31"/>
      <c r="FU63" s="31"/>
      <c r="FV63" s="31"/>
      <c r="FW63" s="31"/>
      <c r="FX63" s="529"/>
      <c r="FY63" s="652">
        <f t="shared" ref="FY63:FY94" si="249">GE63+GH63+GM63+HC63+GL63+GR63+GP63+GQ63</f>
        <v>1069766.29</v>
      </c>
      <c r="FZ63" s="550">
        <f t="shared" si="146"/>
        <v>1069766.29</v>
      </c>
      <c r="GA63" s="45"/>
      <c r="GB63" s="602">
        <f>GM63+GN63+GR63</f>
        <v>92426.290000000008</v>
      </c>
      <c r="GC63" s="28" t="e">
        <f t="shared" ref="GC63:GC94" si="250">FZ63/AK63</f>
        <v>#DIV/0!</v>
      </c>
      <c r="GD63" s="28">
        <f t="shared" si="161"/>
        <v>41144.857307692306</v>
      </c>
      <c r="GE63" s="45"/>
      <c r="GF63" s="417"/>
      <c r="GG63" s="28" t="e">
        <f>#REF!/AD63</f>
        <v>#REF!</v>
      </c>
      <c r="GH63" s="45">
        <v>827340</v>
      </c>
      <c r="GI63" s="267"/>
      <c r="GJ63" s="267"/>
      <c r="GK63" s="407">
        <f t="shared" si="163"/>
        <v>31820.76923076923</v>
      </c>
      <c r="GL63" s="49">
        <v>150000</v>
      </c>
      <c r="GM63" s="45">
        <v>47320</v>
      </c>
      <c r="GN63" s="45"/>
      <c r="GO63" s="23">
        <f t="shared" ref="GO63:GO94" si="251">GM63/FZ63</f>
        <v>4.423396067191461E-2</v>
      </c>
      <c r="GP63" s="45"/>
      <c r="GQ63" s="45"/>
      <c r="GR63" s="45">
        <f>1920+12955.89+30230.4</f>
        <v>45106.29</v>
      </c>
      <c r="GS63" s="28">
        <f t="shared" si="222"/>
        <v>1820</v>
      </c>
      <c r="GT63" s="28">
        <f t="shared" si="223"/>
        <v>1820</v>
      </c>
      <c r="GU63" s="682"/>
      <c r="GV63" s="682"/>
      <c r="GW63" s="680" t="e">
        <f>(#REF!+#REF!+GV63)/AD63</f>
        <v>#REF!</v>
      </c>
      <c r="GX63" s="682"/>
      <c r="GY63" s="680">
        <f t="shared" si="224"/>
        <v>1820</v>
      </c>
      <c r="GZ63" s="681" t="e">
        <f>(#REF!+#REF!+GV63+GX63)/(GU63+#REF!-HA63)</f>
        <v>#REF!</v>
      </c>
      <c r="HA63" s="682"/>
      <c r="HB63" s="682"/>
      <c r="HC63" s="45"/>
      <c r="HD63" s="602">
        <v>185676.66064999998</v>
      </c>
      <c r="HE63" s="608">
        <f t="shared" si="225"/>
        <v>0.17356750010322344</v>
      </c>
      <c r="HF63" s="602">
        <f t="shared" si="226"/>
        <v>884089.62935000006</v>
      </c>
      <c r="HG63" s="602">
        <f t="shared" ca="1" si="235"/>
        <v>884089.62935000006</v>
      </c>
      <c r="HH63" s="608">
        <f ca="1">(HD63+HG63)/FZ63</f>
        <v>1</v>
      </c>
      <c r="HI63" s="602"/>
      <c r="HJ63" s="602">
        <f t="shared" si="237"/>
        <v>92426.290000000008</v>
      </c>
      <c r="HK63" s="602">
        <f t="shared" si="238"/>
        <v>0</v>
      </c>
      <c r="HL63" s="602"/>
      <c r="HM63" s="673"/>
      <c r="HN63" s="62"/>
      <c r="HO63" s="673"/>
      <c r="HP63" s="673">
        <f t="shared" si="236"/>
        <v>0</v>
      </c>
      <c r="HQ63" s="539"/>
      <c r="HR63" s="539"/>
      <c r="HS63" s="539"/>
      <c r="HT63" s="539"/>
      <c r="HU63" s="539"/>
      <c r="HV63" s="673"/>
      <c r="HW63" s="673">
        <f t="shared" si="199"/>
        <v>0</v>
      </c>
      <c r="HX63" s="539"/>
    </row>
    <row r="64" spans="1:232" ht="20.100000000000001" customHeight="1">
      <c r="A64" s="560" t="s">
        <v>280</v>
      </c>
      <c r="B64" s="31" t="s">
        <v>21</v>
      </c>
      <c r="C64" s="31" t="s">
        <v>90</v>
      </c>
      <c r="D64" s="31">
        <v>2015</v>
      </c>
      <c r="E64" s="31" t="s">
        <v>190</v>
      </c>
      <c r="F64" s="31" t="s">
        <v>117</v>
      </c>
      <c r="G64" s="31" t="s">
        <v>141</v>
      </c>
      <c r="H64" s="31" t="s">
        <v>138</v>
      </c>
      <c r="I64" s="31"/>
      <c r="J64" s="31"/>
      <c r="K64" s="180" t="s">
        <v>431</v>
      </c>
      <c r="L64" s="114" t="s">
        <v>202</v>
      </c>
      <c r="M64" s="845"/>
      <c r="N64" s="116"/>
      <c r="O64" s="142">
        <v>8838</v>
      </c>
      <c r="P64" s="142">
        <v>652080</v>
      </c>
      <c r="Q64" s="142">
        <f>P64</f>
        <v>652080</v>
      </c>
      <c r="R64" s="142">
        <f>P64/89</f>
        <v>7326.7415730337079</v>
      </c>
      <c r="S64" s="142">
        <f>P64/O64</f>
        <v>73.78139850644942</v>
      </c>
      <c r="T64" s="148">
        <f>Q64/O64</f>
        <v>73.78139850644942</v>
      </c>
      <c r="U64" s="148">
        <f>Q64/AK64</f>
        <v>336.01286173633446</v>
      </c>
      <c r="V64" s="148">
        <f>Q64/AD64</f>
        <v>32604</v>
      </c>
      <c r="W64" s="142">
        <f>O64/AD64</f>
        <v>441.9</v>
      </c>
      <c r="X64" s="143"/>
      <c r="Y64" s="522">
        <f t="shared" si="206"/>
        <v>22.629554197782305</v>
      </c>
      <c r="Z64" s="143" t="s">
        <v>147</v>
      </c>
      <c r="AA64" s="143">
        <v>630</v>
      </c>
      <c r="AB64" s="144">
        <v>0</v>
      </c>
      <c r="AC64" s="32" t="s">
        <v>9</v>
      </c>
      <c r="AD64" s="493">
        <f t="shared" si="243"/>
        <v>20</v>
      </c>
      <c r="AE64" s="493">
        <f t="shared" si="207"/>
        <v>20</v>
      </c>
      <c r="AF64" s="31">
        <v>20</v>
      </c>
      <c r="AG64" s="42"/>
      <c r="AH64" s="42"/>
      <c r="AI64" s="42"/>
      <c r="AJ64" s="796">
        <v>1765.6399999999996</v>
      </c>
      <c r="AK64" s="276">
        <v>1940.6399999999996</v>
      </c>
      <c r="AL64" s="586">
        <f t="shared" si="244"/>
        <v>88.281999999999982</v>
      </c>
      <c r="AM64" s="8">
        <f t="shared" si="245"/>
        <v>97.031999999999982</v>
      </c>
      <c r="AN64" s="35">
        <v>6.8645960354319122</v>
      </c>
      <c r="AO64" s="35">
        <v>6.25</v>
      </c>
      <c r="AP64" s="35">
        <v>606.02026719999992</v>
      </c>
      <c r="AQ64" s="53"/>
      <c r="AR64" s="53"/>
      <c r="AS64" s="53"/>
      <c r="AT64" s="53">
        <f>16/AD64</f>
        <v>0.8</v>
      </c>
      <c r="AU64" s="53">
        <f>4/AD64</f>
        <v>0.2</v>
      </c>
      <c r="AV64" s="35"/>
      <c r="AW64" s="51" t="s">
        <v>133</v>
      </c>
      <c r="AX64" s="53">
        <v>0</v>
      </c>
      <c r="AY64" s="35">
        <v>4</v>
      </c>
      <c r="AZ64" s="34" t="s">
        <v>398</v>
      </c>
      <c r="BA64" s="31" t="s">
        <v>98</v>
      </c>
      <c r="BB64" s="31"/>
      <c r="BC64" s="31"/>
      <c r="BD64" s="31"/>
      <c r="BE64" s="31"/>
      <c r="BF64" s="73">
        <v>42031</v>
      </c>
      <c r="BG64" s="73"/>
      <c r="BH64" s="31"/>
      <c r="BI64" s="31"/>
      <c r="BJ64" s="660">
        <v>42093</v>
      </c>
      <c r="BK64" s="660">
        <v>42354</v>
      </c>
      <c r="BL64" s="661">
        <v>42380</v>
      </c>
      <c r="BM64" s="659">
        <f t="shared" si="246"/>
        <v>8.6999999999999993</v>
      </c>
      <c r="BN64" s="578" t="s">
        <v>235</v>
      </c>
      <c r="BO64" s="110">
        <v>42899</v>
      </c>
      <c r="BP64" s="138">
        <v>42929</v>
      </c>
      <c r="BQ64" s="655">
        <f t="shared" si="239"/>
        <v>1</v>
      </c>
      <c r="BR64" s="638">
        <v>66464</v>
      </c>
      <c r="BS64" s="110">
        <v>43013</v>
      </c>
      <c r="BT64" s="110"/>
      <c r="BU64" s="202">
        <v>43040</v>
      </c>
      <c r="BV64" s="201">
        <f t="shared" si="208"/>
        <v>43770</v>
      </c>
      <c r="BW64" s="439">
        <f>82893+7312.94</f>
        <v>90205.94</v>
      </c>
      <c r="BX64" s="201" t="str">
        <f>IF(EL64&gt;BV64,"oui","non")</f>
        <v>oui</v>
      </c>
      <c r="BY64" s="557">
        <f>(BV64-EL64)/30</f>
        <v>-9.3666666666666671</v>
      </c>
      <c r="BZ64" s="439" t="str">
        <f>IF((BY64*EO64)&lt;0,"0",BY64*EO64)</f>
        <v>0</v>
      </c>
      <c r="CA64" s="439">
        <f>BW64-BZ64</f>
        <v>90205.94</v>
      </c>
      <c r="CB64" s="81"/>
      <c r="CC64" s="81"/>
      <c r="CD64" s="81"/>
      <c r="CE64" s="326" t="str">
        <f t="shared" si="229"/>
        <v>0</v>
      </c>
      <c r="CF64" s="81"/>
      <c r="CG64" s="81"/>
      <c r="CH64" s="326" t="str">
        <f t="shared" si="230"/>
        <v>0</v>
      </c>
      <c r="CI64" s="81"/>
      <c r="CJ64" s="81"/>
      <c r="CK64" s="326" t="str">
        <f t="shared" si="231"/>
        <v>0</v>
      </c>
      <c r="CL64" s="81"/>
      <c r="CM64" s="81"/>
      <c r="CN64" s="326" t="str">
        <f t="shared" si="232"/>
        <v>0</v>
      </c>
      <c r="CO64" s="81"/>
      <c r="CP64" s="81"/>
      <c r="CQ64" s="326" t="str">
        <f t="shared" si="247"/>
        <v>0</v>
      </c>
      <c r="CR64" s="290"/>
      <c r="CS64" s="81"/>
      <c r="CT64" s="81"/>
      <c r="CU64" s="81"/>
      <c r="CV64" s="326"/>
      <c r="CW64" s="132"/>
      <c r="CX64" s="214">
        <v>43129</v>
      </c>
      <c r="CY64" s="283">
        <v>2018</v>
      </c>
      <c r="CZ64" s="288">
        <f t="shared" si="240"/>
        <v>25.833333333333332</v>
      </c>
      <c r="DA64" s="326" t="str">
        <f t="shared" si="209"/>
        <v>0</v>
      </c>
      <c r="DB64" s="179">
        <v>21</v>
      </c>
      <c r="DC64" s="76">
        <f t="shared" si="210"/>
        <v>29</v>
      </c>
      <c r="DD64" s="214">
        <v>43250</v>
      </c>
      <c r="DE64" s="214">
        <v>43294</v>
      </c>
      <c r="DF64" s="448">
        <f t="shared" si="233"/>
        <v>44</v>
      </c>
      <c r="DG64" s="214">
        <v>43315</v>
      </c>
      <c r="DH64" s="395">
        <v>43446</v>
      </c>
      <c r="DI64" s="396">
        <f t="shared" si="212"/>
        <v>131</v>
      </c>
      <c r="DJ64" s="81">
        <v>43529</v>
      </c>
      <c r="DK64" s="363">
        <f t="shared" ca="1" si="213"/>
        <v>43950</v>
      </c>
      <c r="DL64" s="326">
        <f t="shared" ca="1" si="214"/>
        <v>421</v>
      </c>
      <c r="DM64" s="279">
        <v>43615</v>
      </c>
      <c r="DN64" s="81">
        <v>43818</v>
      </c>
      <c r="DO64" s="326">
        <f t="shared" si="216"/>
        <v>203</v>
      </c>
      <c r="DP64" s="81">
        <v>43623</v>
      </c>
      <c r="DQ64" s="81">
        <v>43703</v>
      </c>
      <c r="DR64" s="326">
        <f t="shared" si="217"/>
        <v>80</v>
      </c>
      <c r="DS64" s="335">
        <v>43602</v>
      </c>
      <c r="DT64" s="335">
        <f t="shared" ca="1" si="218"/>
        <v>43950</v>
      </c>
      <c r="DU64" s="332">
        <f t="shared" ca="1" si="219"/>
        <v>348</v>
      </c>
      <c r="DV64" s="335">
        <v>43647</v>
      </c>
      <c r="DW64" s="335">
        <v>43739</v>
      </c>
      <c r="DX64" s="332">
        <f t="shared" si="221"/>
        <v>92</v>
      </c>
      <c r="DY64" s="424">
        <v>43703</v>
      </c>
      <c r="DZ64" s="424">
        <v>43703</v>
      </c>
      <c r="EA64" s="424">
        <v>43657</v>
      </c>
      <c r="EB64" s="477">
        <f>DATE(YEAR(CX64),MONTH(CX64)+DB64,DAY(CX64))</f>
        <v>43767</v>
      </c>
      <c r="EC64" s="476">
        <v>44020</v>
      </c>
      <c r="ED64" s="473">
        <f t="shared" si="248"/>
        <v>8.4333333333333336</v>
      </c>
      <c r="EE64" s="735">
        <f t="shared" ca="1" si="228"/>
        <v>2.3333333333333335</v>
      </c>
      <c r="EF64" s="736">
        <f t="shared" si="202"/>
        <v>44177</v>
      </c>
      <c r="EG64" s="535"/>
      <c r="EH64" s="215">
        <v>43788</v>
      </c>
      <c r="EI64" s="128"/>
      <c r="EJ64" s="295"/>
      <c r="EK64" s="534">
        <f t="shared" si="242"/>
        <v>43798</v>
      </c>
      <c r="EL64" s="476">
        <f t="shared" si="241"/>
        <v>44051</v>
      </c>
      <c r="EM64" s="368"/>
      <c r="EN64" s="471">
        <f>(DATEDIF(EK64,EL64,"d"))/30</f>
        <v>8.4333333333333336</v>
      </c>
      <c r="EO64" s="462">
        <v>12346</v>
      </c>
      <c r="EP64" s="38">
        <f t="shared" si="158"/>
        <v>104117.93333333333</v>
      </c>
      <c r="EQ64" s="833">
        <f>EO64*3</f>
        <v>37038</v>
      </c>
      <c r="ER64" s="353">
        <v>0</v>
      </c>
      <c r="ES64" s="353">
        <v>0</v>
      </c>
      <c r="ET64" s="353">
        <f>475800*1.021</f>
        <v>485791.79999999993</v>
      </c>
      <c r="EU64" s="353"/>
      <c r="EV64" s="353">
        <v>0</v>
      </c>
      <c r="EW64" s="483">
        <f t="shared" si="159"/>
        <v>0</v>
      </c>
      <c r="EX64" s="350" t="s">
        <v>508</v>
      </c>
      <c r="EY64" s="362" t="s">
        <v>539</v>
      </c>
      <c r="EZ64" s="540" t="s">
        <v>928</v>
      </c>
      <c r="FA64" s="362"/>
      <c r="FB64" s="126">
        <f t="shared" si="234"/>
        <v>44177</v>
      </c>
      <c r="FC64" s="80"/>
      <c r="FD64" s="80"/>
      <c r="FE64" s="80"/>
      <c r="FF64" s="80"/>
      <c r="FG64" s="80"/>
      <c r="FH64" s="31"/>
      <c r="FI64" s="194">
        <f t="shared" si="201"/>
        <v>44385</v>
      </c>
      <c r="FJ64" s="194"/>
      <c r="FK64" s="31"/>
      <c r="FL64" s="31"/>
      <c r="FM64" s="31"/>
      <c r="FN64" s="31"/>
      <c r="FO64" s="31"/>
      <c r="FP64" s="31"/>
      <c r="FQ64" s="31"/>
      <c r="FR64" s="31"/>
      <c r="FS64" s="31"/>
      <c r="FT64" s="31"/>
      <c r="FU64" s="31"/>
      <c r="FV64" s="31"/>
      <c r="FW64" s="31"/>
      <c r="FX64" s="529"/>
      <c r="FY64" s="652">
        <f t="shared" si="249"/>
        <v>3556915.3567086011</v>
      </c>
      <c r="FZ64" s="550">
        <f t="shared" si="146"/>
        <v>3556915.3567086011</v>
      </c>
      <c r="GA64" s="500">
        <f>FZ64</f>
        <v>3556915.3567086011</v>
      </c>
      <c r="GB64" s="610">
        <f>GM64+GN64+GR64+GQ64+GV64+GX64</f>
        <v>258774</v>
      </c>
      <c r="GC64" s="28">
        <f t="shared" si="250"/>
        <v>1832.8568702637283</v>
      </c>
      <c r="GD64" s="28">
        <f t="shared" si="161"/>
        <v>177845.76783543004</v>
      </c>
      <c r="GE64" s="45">
        <v>1228058.3567086009</v>
      </c>
      <c r="GF64" s="417">
        <v>1114069</v>
      </c>
      <c r="GG64" s="28">
        <f t="shared" ref="GG64:GG79" si="252">GE64/AD64</f>
        <v>61402.917835430046</v>
      </c>
      <c r="GH64" s="856">
        <f>GI64+GJ64</f>
        <v>2066681</v>
      </c>
      <c r="GI64" s="858">
        <v>309940</v>
      </c>
      <c r="GJ64" s="858">
        <v>1756741</v>
      </c>
      <c r="GK64" s="407">
        <f t="shared" si="163"/>
        <v>103334.05</v>
      </c>
      <c r="GL64" s="45"/>
      <c r="GM64" s="45">
        <v>200000</v>
      </c>
      <c r="GN64" s="45"/>
      <c r="GO64" s="23">
        <f t="shared" si="251"/>
        <v>5.622849574499586E-2</v>
      </c>
      <c r="GP64" s="60"/>
      <c r="GQ64" s="60"/>
      <c r="GR64" s="45">
        <v>58774</v>
      </c>
      <c r="GS64" s="28">
        <f t="shared" si="222"/>
        <v>10000</v>
      </c>
      <c r="GT64" s="28">
        <f t="shared" si="223"/>
        <v>71402.917835430038</v>
      </c>
      <c r="GU64" s="682">
        <v>0</v>
      </c>
      <c r="GV64" s="682">
        <v>0</v>
      </c>
      <c r="GW64" s="680">
        <f>(GE64+GM64+GV64)/AD64</f>
        <v>71402.917835430038</v>
      </c>
      <c r="GX64" s="682">
        <v>0</v>
      </c>
      <c r="GY64" s="680">
        <f t="shared" si="224"/>
        <v>71402.917835430038</v>
      </c>
      <c r="GZ64" s="681">
        <f>(GE64+GM64+GV64+GX64)/(GU64+FZ64-HA64)</f>
        <v>0.40148786616897669</v>
      </c>
      <c r="HA64" s="682">
        <v>0</v>
      </c>
      <c r="HB64" s="682"/>
      <c r="HC64" s="45">
        <v>3402</v>
      </c>
      <c r="HD64" s="610">
        <v>2102468.2793891593</v>
      </c>
      <c r="HE64" s="608">
        <f t="shared" si="225"/>
        <v>0.59109314350811049</v>
      </c>
      <c r="HF64" s="616">
        <f t="shared" si="226"/>
        <v>1454447.0773194418</v>
      </c>
      <c r="HG64" s="602">
        <f t="shared" ca="1" si="235"/>
        <v>1454447.0773194418</v>
      </c>
      <c r="HH64" s="608">
        <f ca="1">(HG64+HD64)/FZ64</f>
        <v>1</v>
      </c>
      <c r="HI64" s="602">
        <f>'[1]GLOBAL OPERATION'!$AG$57</f>
        <v>880000</v>
      </c>
      <c r="HJ64" s="602">
        <f>GB64+GB65-HI64</f>
        <v>225597</v>
      </c>
      <c r="HK64" s="608">
        <f>HI64/(GB64+GB65)</f>
        <v>0.7959500613695587</v>
      </c>
      <c r="HL64" s="608"/>
      <c r="HM64" s="673"/>
      <c r="HN64" s="62"/>
      <c r="HO64" s="673"/>
      <c r="HP64" s="673">
        <f t="shared" si="236"/>
        <v>0</v>
      </c>
      <c r="HQ64" s="539"/>
      <c r="HR64" s="539"/>
      <c r="HS64" s="539"/>
      <c r="HT64" s="539"/>
      <c r="HU64" s="539"/>
      <c r="HV64" s="673"/>
      <c r="HW64" s="673">
        <f t="shared" si="199"/>
        <v>0</v>
      </c>
      <c r="HX64" s="539"/>
    </row>
    <row r="65" spans="1:232" ht="30" customHeight="1">
      <c r="A65" s="560" t="s">
        <v>259</v>
      </c>
      <c r="B65" s="31" t="s">
        <v>21</v>
      </c>
      <c r="C65" s="31" t="s">
        <v>90</v>
      </c>
      <c r="D65" s="31">
        <v>2016</v>
      </c>
      <c r="E65" s="31" t="s">
        <v>190</v>
      </c>
      <c r="F65" s="31" t="s">
        <v>117</v>
      </c>
      <c r="G65" s="212"/>
      <c r="H65" s="31" t="s">
        <v>138</v>
      </c>
      <c r="I65" s="31"/>
      <c r="J65" s="31"/>
      <c r="K65" s="180" t="s">
        <v>431</v>
      </c>
      <c r="L65" s="114" t="s">
        <v>202</v>
      </c>
      <c r="M65" s="115" t="s">
        <v>118</v>
      </c>
      <c r="N65" s="116"/>
      <c r="O65" s="142">
        <v>8838</v>
      </c>
      <c r="P65" s="142">
        <v>652080</v>
      </c>
      <c r="Q65" s="142">
        <f>P65</f>
        <v>652080</v>
      </c>
      <c r="R65" s="142">
        <f>P65/89</f>
        <v>7326.7415730337079</v>
      </c>
      <c r="S65" s="142">
        <f>P65/O65</f>
        <v>73.78139850644942</v>
      </c>
      <c r="T65" s="148">
        <f>Q65/O65</f>
        <v>73.78139850644942</v>
      </c>
      <c r="U65" s="148">
        <f>Q65/AK65</f>
        <v>130.6752597152751</v>
      </c>
      <c r="V65" s="148">
        <f>Q65/AD65</f>
        <v>9450.434782608696</v>
      </c>
      <c r="W65" s="142">
        <f>O65/AD65</f>
        <v>128.08695652173913</v>
      </c>
      <c r="X65" s="143"/>
      <c r="Y65" s="522">
        <f t="shared" si="206"/>
        <v>78.071961982348952</v>
      </c>
      <c r="Z65" s="143" t="s">
        <v>147</v>
      </c>
      <c r="AA65" s="143">
        <v>630</v>
      </c>
      <c r="AB65" s="144">
        <v>0</v>
      </c>
      <c r="AC65" s="32" t="s">
        <v>10</v>
      </c>
      <c r="AD65" s="493">
        <f t="shared" si="243"/>
        <v>69</v>
      </c>
      <c r="AE65" s="493">
        <f t="shared" si="207"/>
        <v>69</v>
      </c>
      <c r="AF65" s="42"/>
      <c r="AG65" s="31">
        <v>69</v>
      </c>
      <c r="AH65" s="42"/>
      <c r="AI65" s="42"/>
      <c r="AJ65" s="796">
        <v>4096.6099999999997</v>
      </c>
      <c r="AK65" s="276">
        <v>4990.08</v>
      </c>
      <c r="AL65" s="586">
        <f t="shared" si="244"/>
        <v>59.37115942028985</v>
      </c>
      <c r="AM65" s="8">
        <f t="shared" si="245"/>
        <v>72.319999999999993</v>
      </c>
      <c r="AN65" s="35">
        <v>6.59</v>
      </c>
      <c r="AO65" s="35">
        <v>5.41</v>
      </c>
      <c r="AP65" s="35">
        <v>428.50409507760696</v>
      </c>
      <c r="AQ65" s="53">
        <f>12/AD65</f>
        <v>0.17391304347826086</v>
      </c>
      <c r="AR65" s="53">
        <f>29/AD65</f>
        <v>0.42028985507246375</v>
      </c>
      <c r="AS65" s="53">
        <f>28/AD65</f>
        <v>0.40579710144927539</v>
      </c>
      <c r="AT65" s="53">
        <v>0</v>
      </c>
      <c r="AU65" s="53">
        <v>0</v>
      </c>
      <c r="AV65" s="35"/>
      <c r="AW65" s="51" t="s">
        <v>133</v>
      </c>
      <c r="AX65" s="53">
        <v>0</v>
      </c>
      <c r="AY65" s="35">
        <v>4</v>
      </c>
      <c r="AZ65" s="34" t="s">
        <v>398</v>
      </c>
      <c r="BA65" s="31" t="s">
        <v>98</v>
      </c>
      <c r="BB65" s="31"/>
      <c r="BC65" s="31"/>
      <c r="BD65" s="31"/>
      <c r="BE65" s="31"/>
      <c r="BF65" s="164">
        <v>42031</v>
      </c>
      <c r="BG65" s="164"/>
      <c r="BH65" s="164">
        <v>42475</v>
      </c>
      <c r="BI65" s="164"/>
      <c r="BJ65" s="660">
        <v>42459</v>
      </c>
      <c r="BK65" s="660">
        <v>42462</v>
      </c>
      <c r="BL65" s="661">
        <v>42510</v>
      </c>
      <c r="BM65" s="659">
        <f t="shared" si="246"/>
        <v>0.1</v>
      </c>
      <c r="BN65" s="578" t="s">
        <v>235</v>
      </c>
      <c r="BO65" s="110">
        <v>42899</v>
      </c>
      <c r="BP65" s="138">
        <v>42929</v>
      </c>
      <c r="BQ65" s="655">
        <f t="shared" si="239"/>
        <v>1</v>
      </c>
      <c r="BR65" s="638">
        <v>66463</v>
      </c>
      <c r="BS65" s="110">
        <v>43013</v>
      </c>
      <c r="BT65" s="110"/>
      <c r="BU65" s="202">
        <v>42948</v>
      </c>
      <c r="BV65" s="201">
        <f t="shared" si="208"/>
        <v>43678</v>
      </c>
      <c r="BW65" s="439">
        <f>17610.41+217516</f>
        <v>235126.41</v>
      </c>
      <c r="BX65" s="201" t="str">
        <f>IF(EL65&gt;BV65,"oui","non")</f>
        <v>oui</v>
      </c>
      <c r="BY65" s="557">
        <f>(BV65-EL65)/30</f>
        <v>-12.433333333333334</v>
      </c>
      <c r="BZ65" s="439" t="str">
        <f>IF((BY65*EO65)&lt;0,"0",BY65*EO65)</f>
        <v>0</v>
      </c>
      <c r="CA65" s="439">
        <f>BW65-BZ65</f>
        <v>235126.41</v>
      </c>
      <c r="CB65" s="81"/>
      <c r="CC65" s="74"/>
      <c r="CD65" s="74"/>
      <c r="CE65" s="326" t="str">
        <f t="shared" si="229"/>
        <v>0</v>
      </c>
      <c r="CF65" s="81"/>
      <c r="CG65" s="81"/>
      <c r="CH65" s="326" t="str">
        <f t="shared" si="230"/>
        <v>0</v>
      </c>
      <c r="CI65" s="83"/>
      <c r="CJ65" s="81"/>
      <c r="CK65" s="326" t="str">
        <f t="shared" si="231"/>
        <v>0</v>
      </c>
      <c r="CL65" s="83"/>
      <c r="CM65" s="81"/>
      <c r="CN65" s="326" t="str">
        <f t="shared" si="232"/>
        <v>0</v>
      </c>
      <c r="CO65" s="83"/>
      <c r="CP65" s="365"/>
      <c r="CQ65" s="326" t="str">
        <f t="shared" si="247"/>
        <v>0</v>
      </c>
      <c r="CR65" s="290"/>
      <c r="CS65" s="159"/>
      <c r="CT65" s="81"/>
      <c r="CU65" s="159"/>
      <c r="CV65" s="326"/>
      <c r="CW65" s="132"/>
      <c r="CX65" s="282">
        <v>43129</v>
      </c>
      <c r="CY65" s="283">
        <v>2018</v>
      </c>
      <c r="CZ65" s="288">
        <f t="shared" si="240"/>
        <v>22.233333333333334</v>
      </c>
      <c r="DA65" s="326" t="str">
        <f t="shared" si="209"/>
        <v>0</v>
      </c>
      <c r="DB65" s="179">
        <v>21</v>
      </c>
      <c r="DC65" s="76">
        <f t="shared" si="210"/>
        <v>29</v>
      </c>
      <c r="DD65" s="214">
        <v>43250</v>
      </c>
      <c r="DE65" s="214">
        <v>43294</v>
      </c>
      <c r="DF65" s="448">
        <f t="shared" si="233"/>
        <v>44</v>
      </c>
      <c r="DG65" s="214">
        <v>43315</v>
      </c>
      <c r="DH65" s="395">
        <v>43446</v>
      </c>
      <c r="DI65" s="396">
        <f t="shared" si="212"/>
        <v>131</v>
      </c>
      <c r="DJ65" s="81">
        <v>43529</v>
      </c>
      <c r="DK65" s="363">
        <f t="shared" ca="1" si="213"/>
        <v>43950</v>
      </c>
      <c r="DL65" s="347">
        <f t="shared" ca="1" si="214"/>
        <v>421</v>
      </c>
      <c r="DM65" s="81">
        <v>43615</v>
      </c>
      <c r="DN65" s="81">
        <v>43818</v>
      </c>
      <c r="DO65" s="347">
        <f t="shared" si="216"/>
        <v>203</v>
      </c>
      <c r="DP65" s="73">
        <v>43623</v>
      </c>
      <c r="DQ65" s="81">
        <v>43703</v>
      </c>
      <c r="DR65" s="326">
        <f t="shared" si="217"/>
        <v>80</v>
      </c>
      <c r="DS65" s="335">
        <v>43602</v>
      </c>
      <c r="DT65" s="335">
        <f t="shared" ca="1" si="218"/>
        <v>43950</v>
      </c>
      <c r="DU65" s="332">
        <f t="shared" ca="1" si="219"/>
        <v>348</v>
      </c>
      <c r="DV65" s="335">
        <v>43647</v>
      </c>
      <c r="DW65" s="335">
        <v>43739</v>
      </c>
      <c r="DX65" s="332">
        <f t="shared" si="221"/>
        <v>92</v>
      </c>
      <c r="DY65" s="336"/>
      <c r="DZ65" s="336"/>
      <c r="EA65" s="336"/>
      <c r="EB65" s="477">
        <f>DATE(YEAR(CX65),MONTH(CX65)+DB65,DAY(CX65))</f>
        <v>43767</v>
      </c>
      <c r="EC65" s="476">
        <v>44020</v>
      </c>
      <c r="ED65" s="473">
        <f t="shared" si="248"/>
        <v>8.4333333333333336</v>
      </c>
      <c r="EE65" s="735">
        <f t="shared" ca="1" si="228"/>
        <v>2.3333333333333335</v>
      </c>
      <c r="EF65" s="736">
        <f t="shared" si="202"/>
        <v>44177</v>
      </c>
      <c r="EG65" s="535"/>
      <c r="EH65" s="215">
        <v>43788</v>
      </c>
      <c r="EI65" s="128"/>
      <c r="EJ65" s="295"/>
      <c r="EK65" s="534">
        <f t="shared" si="242"/>
        <v>43798</v>
      </c>
      <c r="EL65" s="476">
        <f t="shared" si="241"/>
        <v>44051</v>
      </c>
      <c r="EM65" s="368"/>
      <c r="EN65" s="471">
        <f>(DATEDIF(EK65,EL65,"d"))/30</f>
        <v>8.4333333333333336</v>
      </c>
      <c r="EO65" s="462">
        <v>25392.626856423114</v>
      </c>
      <c r="EP65" s="38">
        <f t="shared" si="158"/>
        <v>214144.48648916828</v>
      </c>
      <c r="EQ65" s="833">
        <f>EO65*3</f>
        <v>76177.880569269342</v>
      </c>
      <c r="ER65" s="353">
        <v>0</v>
      </c>
      <c r="ES65" s="353">
        <v>0</v>
      </c>
      <c r="ET65" s="353"/>
      <c r="EU65" s="353"/>
      <c r="EV65" s="353">
        <v>0</v>
      </c>
      <c r="EW65" s="483">
        <f t="shared" si="159"/>
        <v>0</v>
      </c>
      <c r="EX65" s="350"/>
      <c r="EY65" s="362"/>
      <c r="EZ65" s="540"/>
      <c r="FA65" s="350"/>
      <c r="FB65" s="126">
        <f t="shared" si="234"/>
        <v>44177</v>
      </c>
      <c r="FC65" s="80"/>
      <c r="FD65" s="80"/>
      <c r="FE65" s="80"/>
      <c r="FF65" s="80"/>
      <c r="FG65" s="80"/>
      <c r="FH65" s="31"/>
      <c r="FI65" s="194">
        <f t="shared" si="201"/>
        <v>44385</v>
      </c>
      <c r="FJ65" s="194"/>
      <c r="FK65" s="31"/>
      <c r="FL65" s="31"/>
      <c r="FM65" s="31"/>
      <c r="FN65" s="31"/>
      <c r="FO65" s="31"/>
      <c r="FP65" s="31"/>
      <c r="FQ65" s="31"/>
      <c r="FR65" s="31"/>
      <c r="FS65" s="31"/>
      <c r="FT65" s="31"/>
      <c r="FU65" s="31"/>
      <c r="FV65" s="31"/>
      <c r="FW65" s="31"/>
      <c r="FX65" s="529"/>
      <c r="FY65" s="652">
        <f t="shared" si="249"/>
        <v>9262783.052752845</v>
      </c>
      <c r="FZ65" s="550">
        <f t="shared" si="146"/>
        <v>9262783.052752845</v>
      </c>
      <c r="GA65" s="500">
        <f>FZ65</f>
        <v>9262783.052752845</v>
      </c>
      <c r="GB65" s="610">
        <f>GM65+GN65+GR65+GQ65+GV65+GX65</f>
        <v>846823</v>
      </c>
      <c r="GC65" s="28">
        <f t="shared" si="250"/>
        <v>1856.2393894993356</v>
      </c>
      <c r="GD65" s="28">
        <f t="shared" si="161"/>
        <v>134243.23264859195</v>
      </c>
      <c r="GE65" s="854">
        <v>3079515.0527528455</v>
      </c>
      <c r="GF65" s="417">
        <v>2943082</v>
      </c>
      <c r="GG65" s="28">
        <f t="shared" si="252"/>
        <v>44630.652938447034</v>
      </c>
      <c r="GH65" s="854">
        <f>GI65+GJ65</f>
        <v>5336445</v>
      </c>
      <c r="GI65" s="857">
        <v>746372</v>
      </c>
      <c r="GJ65" s="857">
        <v>4590073</v>
      </c>
      <c r="GK65" s="407">
        <f t="shared" si="163"/>
        <v>77339.782608695648</v>
      </c>
      <c r="GL65" s="45"/>
      <c r="GM65" s="45">
        <v>700000</v>
      </c>
      <c r="GN65" s="45"/>
      <c r="GO65" s="23">
        <f t="shared" si="251"/>
        <v>7.5571239876115207E-2</v>
      </c>
      <c r="GP65" s="60"/>
      <c r="GQ65" s="60"/>
      <c r="GR65" s="45">
        <v>146823</v>
      </c>
      <c r="GS65" s="28">
        <f t="shared" si="222"/>
        <v>10144.927536231884</v>
      </c>
      <c r="GT65" s="28">
        <f t="shared" si="223"/>
        <v>54775.580474678922</v>
      </c>
      <c r="GU65" s="682">
        <v>0</v>
      </c>
      <c r="GV65" s="682">
        <v>0</v>
      </c>
      <c r="GW65" s="680">
        <f>(GE65+GM65+GV65)/AD65</f>
        <v>54775.580474678922</v>
      </c>
      <c r="GX65" s="682">
        <v>0</v>
      </c>
      <c r="GY65" s="680">
        <f t="shared" si="224"/>
        <v>54775.580474678922</v>
      </c>
      <c r="GZ65" s="681">
        <f>(GE65+GM65+GV65+GX65)/(GU65+FZ65-HA65)</f>
        <v>0.40803234095281932</v>
      </c>
      <c r="HA65" s="682">
        <v>0</v>
      </c>
      <c r="HB65" s="682"/>
      <c r="HC65" s="45">
        <f>ES65</f>
        <v>0</v>
      </c>
      <c r="HD65" s="610">
        <v>5343428.7862384301</v>
      </c>
      <c r="HE65" s="608">
        <f t="shared" si="225"/>
        <v>0.5768707693796622</v>
      </c>
      <c r="HF65" s="616">
        <f t="shared" si="226"/>
        <v>3919354.2665144149</v>
      </c>
      <c r="HG65" s="602">
        <f t="shared" ca="1" si="235"/>
        <v>3919354.2665144149</v>
      </c>
      <c r="HH65" s="608">
        <f ca="1">(HG65+HD65)/FZ65</f>
        <v>1</v>
      </c>
      <c r="HI65" s="442"/>
      <c r="HJ65" s="442"/>
      <c r="HK65" s="418">
        <f t="shared" ref="HK65:HK96" si="253">HI65/GB65</f>
        <v>0</v>
      </c>
      <c r="HL65" s="418"/>
      <c r="HM65" s="673"/>
      <c r="HN65" s="62"/>
      <c r="HO65" s="673"/>
      <c r="HP65" s="673">
        <f t="shared" si="236"/>
        <v>0</v>
      </c>
      <c r="HQ65" s="539"/>
      <c r="HR65" s="539"/>
      <c r="HS65" s="539"/>
      <c r="HT65" s="539"/>
      <c r="HU65" s="539"/>
      <c r="HV65" s="673"/>
      <c r="HW65" s="673">
        <f t="shared" si="199"/>
        <v>0</v>
      </c>
      <c r="HX65" s="539"/>
    </row>
    <row r="66" spans="1:232" ht="29.25" customHeight="1">
      <c r="A66" s="510" t="s">
        <v>323</v>
      </c>
      <c r="B66" s="31" t="s">
        <v>14</v>
      </c>
      <c r="C66" s="31" t="s">
        <v>90</v>
      </c>
      <c r="D66" s="31">
        <v>2018</v>
      </c>
      <c r="E66" s="31"/>
      <c r="F66" s="31" t="s">
        <v>309</v>
      </c>
      <c r="G66" s="31" t="s">
        <v>143</v>
      </c>
      <c r="H66" s="31" t="s">
        <v>138</v>
      </c>
      <c r="I66" s="31"/>
      <c r="J66" s="31" t="s">
        <v>328</v>
      </c>
      <c r="K66" s="180" t="s">
        <v>345</v>
      </c>
      <c r="L66" s="114" t="s">
        <v>44</v>
      </c>
      <c r="M66" s="115" t="s">
        <v>339</v>
      </c>
      <c r="N66" s="206" t="s">
        <v>344</v>
      </c>
      <c r="O66" s="159"/>
      <c r="P66" s="159"/>
      <c r="Q66" s="159"/>
      <c r="R66" s="159"/>
      <c r="S66" s="159"/>
      <c r="T66" s="386"/>
      <c r="U66" s="386"/>
      <c r="V66" s="386"/>
      <c r="W66" s="159"/>
      <c r="X66" s="143"/>
      <c r="Y66" s="525" t="e">
        <f t="shared" si="206"/>
        <v>#DIV/0!</v>
      </c>
      <c r="Z66" s="143"/>
      <c r="AA66" s="143"/>
      <c r="AB66" s="144"/>
      <c r="AC66" s="31" t="s">
        <v>308</v>
      </c>
      <c r="AD66" s="493">
        <f t="shared" si="243"/>
        <v>23</v>
      </c>
      <c r="AE66" s="493">
        <f t="shared" si="207"/>
        <v>0</v>
      </c>
      <c r="AF66" s="42"/>
      <c r="AG66" s="42"/>
      <c r="AH66" s="42"/>
      <c r="AI66" s="131">
        <v>23</v>
      </c>
      <c r="AJ66" s="796"/>
      <c r="AK66" s="276"/>
      <c r="AL66" s="586">
        <f t="shared" si="244"/>
        <v>0</v>
      </c>
      <c r="AM66" s="8">
        <f t="shared" si="245"/>
        <v>0</v>
      </c>
      <c r="AN66" s="35"/>
      <c r="AO66" s="35"/>
      <c r="AP66" s="35"/>
      <c r="AQ66" s="53"/>
      <c r="AR66" s="53"/>
      <c r="AS66" s="53"/>
      <c r="AT66" s="53"/>
      <c r="AU66" s="53"/>
      <c r="AV66" s="35"/>
      <c r="AW66" s="51"/>
      <c r="AX66" s="53"/>
      <c r="AY66" s="35"/>
      <c r="AZ66" s="31"/>
      <c r="BA66" s="31"/>
      <c r="BB66" s="31"/>
      <c r="BC66" s="31"/>
      <c r="BD66" s="31"/>
      <c r="BE66" s="31"/>
      <c r="BF66" s="31"/>
      <c r="BG66" s="31"/>
      <c r="BH66" s="73">
        <v>43308</v>
      </c>
      <c r="BI66" s="73">
        <v>43308</v>
      </c>
      <c r="BJ66" s="660">
        <v>43189</v>
      </c>
      <c r="BK66" s="660">
        <v>43335</v>
      </c>
      <c r="BL66" s="661">
        <v>43502</v>
      </c>
      <c r="BM66" s="659">
        <f t="shared" si="246"/>
        <v>4.8666666666666663</v>
      </c>
      <c r="BN66" s="578" t="s">
        <v>235</v>
      </c>
      <c r="BO66" s="110">
        <v>43396</v>
      </c>
      <c r="BP66" s="138">
        <v>43487</v>
      </c>
      <c r="BQ66" s="654">
        <f t="shared" si="239"/>
        <v>3.0333333333333332</v>
      </c>
      <c r="BR66" s="638">
        <v>91974</v>
      </c>
      <c r="BS66" s="452">
        <f>DATE(YEAR(BP66),MONTH(BP66)+3,DAY(BP66))</f>
        <v>43577</v>
      </c>
      <c r="BT66" s="110">
        <v>43501</v>
      </c>
      <c r="BU66" s="202">
        <v>43586</v>
      </c>
      <c r="BV66" s="201">
        <f t="shared" si="208"/>
        <v>44317</v>
      </c>
      <c r="BW66" s="439">
        <v>38208.400000000001</v>
      </c>
      <c r="BX66" s="555"/>
      <c r="BY66" s="556"/>
      <c r="BZ66" s="556"/>
      <c r="CA66" s="556"/>
      <c r="CB66" s="279"/>
      <c r="CC66" s="74"/>
      <c r="CD66" s="74"/>
      <c r="CE66" s="326" t="str">
        <f t="shared" si="229"/>
        <v>0</v>
      </c>
      <c r="CF66" s="81">
        <v>43007</v>
      </c>
      <c r="CG66" s="81">
        <f ca="1">IF(CF66&lt;TODAY(),TODAY(),CF66)</f>
        <v>43950</v>
      </c>
      <c r="CH66" s="326">
        <f t="shared" ca="1" si="230"/>
        <v>943</v>
      </c>
      <c r="CI66" s="81">
        <v>42986</v>
      </c>
      <c r="CJ66" s="279">
        <f ca="1">IF(CI66&lt;TODAY(),TODAY(),CI66)</f>
        <v>43950</v>
      </c>
      <c r="CK66" s="326">
        <f t="shared" ca="1" si="231"/>
        <v>964</v>
      </c>
      <c r="CL66" s="81">
        <v>43067</v>
      </c>
      <c r="CM66" s="279">
        <f ca="1">IF(CL66&lt;TODAY(),TODAY(),CL66)</f>
        <v>43950</v>
      </c>
      <c r="CN66" s="326">
        <f t="shared" ca="1" si="232"/>
        <v>883</v>
      </c>
      <c r="CO66" s="81">
        <v>43126</v>
      </c>
      <c r="CP66" s="81">
        <f ca="1">IF(CO66&lt;TODAY(),TODAY(),CO66)</f>
        <v>43950</v>
      </c>
      <c r="CQ66" s="326">
        <f t="shared" ca="1" si="247"/>
        <v>824</v>
      </c>
      <c r="CR66" s="666"/>
      <c r="CS66" s="279">
        <v>43403</v>
      </c>
      <c r="CT66" s="279">
        <v>43572</v>
      </c>
      <c r="CU66" s="81">
        <f ca="1">IF(CT66&lt;TODAY(),TODAY(),CT66)</f>
        <v>43950</v>
      </c>
      <c r="CV66" s="326">
        <f ca="1">IF(AND(CT66&gt;0,CU66&gt;0),CU66-CT66,"0")</f>
        <v>378</v>
      </c>
      <c r="CW66" s="214">
        <v>43587</v>
      </c>
      <c r="CX66" s="282">
        <v>43665</v>
      </c>
      <c r="CY66" s="283">
        <v>2019</v>
      </c>
      <c r="CZ66" s="288">
        <f t="shared" si="240"/>
        <v>11</v>
      </c>
      <c r="DA66" s="448">
        <f t="shared" si="209"/>
        <v>78</v>
      </c>
      <c r="DB66" s="179">
        <v>8</v>
      </c>
      <c r="DC66" s="76">
        <f t="shared" si="210"/>
        <v>11</v>
      </c>
      <c r="DD66" s="330"/>
      <c r="DE66" s="335">
        <f t="shared" ref="DE66:DE76" ca="1" si="254">IF(DD66&lt;TODAY(),TODAY(),DD66)</f>
        <v>43950</v>
      </c>
      <c r="DF66" s="332" t="str">
        <f t="shared" ca="1" si="233"/>
        <v>0</v>
      </c>
      <c r="DG66" s="330"/>
      <c r="DH66" s="348">
        <f ca="1">IF(DG66&lt;TODAY(),TODAY(),DG66)</f>
        <v>43950</v>
      </c>
      <c r="DI66" s="333" t="str">
        <f t="shared" ca="1" si="212"/>
        <v>0</v>
      </c>
      <c r="DJ66" s="334"/>
      <c r="DK66" s="348">
        <f t="shared" ca="1" si="213"/>
        <v>43950</v>
      </c>
      <c r="DL66" s="332" t="str">
        <f t="shared" ca="1" si="214"/>
        <v>0</v>
      </c>
      <c r="DM66" s="335">
        <v>43508</v>
      </c>
      <c r="DN66" s="335">
        <f t="shared" ref="DN66:DN76" ca="1" si="255">IF(DM66&lt;TODAY(),TODAY(),DM66)</f>
        <v>43950</v>
      </c>
      <c r="DO66" s="332">
        <f t="shared" ca="1" si="216"/>
        <v>442</v>
      </c>
      <c r="DP66" s="336"/>
      <c r="DQ66" s="336"/>
      <c r="DR66" s="332" t="str">
        <f t="shared" si="217"/>
        <v>0</v>
      </c>
      <c r="DS66" s="335"/>
      <c r="DT66" s="335">
        <f t="shared" ca="1" si="218"/>
        <v>43950</v>
      </c>
      <c r="DU66" s="332" t="str">
        <f t="shared" ca="1" si="219"/>
        <v>0</v>
      </c>
      <c r="DV66" s="335">
        <v>43585</v>
      </c>
      <c r="DW66" s="335">
        <f t="shared" ref="DW66:DW76" ca="1" si="256">IF(DV66&lt;TODAY(),TODAY(),DV66)</f>
        <v>43950</v>
      </c>
      <c r="DX66" s="332">
        <f t="shared" ca="1" si="221"/>
        <v>365</v>
      </c>
      <c r="DY66" s="336"/>
      <c r="DZ66" s="336"/>
      <c r="EA66" s="336"/>
      <c r="EB66" s="477">
        <v>43901</v>
      </c>
      <c r="EC66" s="476">
        <v>44023</v>
      </c>
      <c r="ED66" s="473">
        <f t="shared" si="248"/>
        <v>4.0666666666666664</v>
      </c>
      <c r="EE66" s="605">
        <f t="shared" ca="1" si="228"/>
        <v>2.4333333333333331</v>
      </c>
      <c r="EF66" s="537">
        <f t="shared" ca="1" si="202"/>
        <v>44680</v>
      </c>
      <c r="EG66" s="535"/>
      <c r="EH66" s="526"/>
      <c r="EI66" s="526"/>
      <c r="EJ66" s="295"/>
      <c r="EK66" s="534">
        <f t="shared" si="242"/>
        <v>43932</v>
      </c>
      <c r="EL66" s="476">
        <f t="shared" si="241"/>
        <v>44054</v>
      </c>
      <c r="EM66" s="368"/>
      <c r="EN66" s="471">
        <f>(EL66-EK66)/30</f>
        <v>4.0666666666666664</v>
      </c>
      <c r="EO66" s="461"/>
      <c r="EP66" s="173">
        <f t="shared" si="158"/>
        <v>0</v>
      </c>
      <c r="EQ66" s="77"/>
      <c r="ER66" s="353">
        <v>0</v>
      </c>
      <c r="ES66" s="353">
        <v>0</v>
      </c>
      <c r="ET66" s="353">
        <v>37052</v>
      </c>
      <c r="EU66" s="353"/>
      <c r="EV66" s="353"/>
      <c r="EW66" s="483">
        <f t="shared" si="159"/>
        <v>0</v>
      </c>
      <c r="EX66" s="350"/>
      <c r="EY66" s="362"/>
      <c r="EZ66" s="350" t="s">
        <v>930</v>
      </c>
      <c r="FA66" s="362"/>
      <c r="FB66" s="126">
        <f t="shared" ca="1" si="234"/>
        <v>44680</v>
      </c>
      <c r="FC66" s="80"/>
      <c r="FD66" s="80"/>
      <c r="FE66" s="80"/>
      <c r="FF66" s="80"/>
      <c r="FG66" s="80"/>
      <c r="FH66" s="31"/>
      <c r="FI66" s="194">
        <f t="shared" si="201"/>
        <v>44388</v>
      </c>
      <c r="FJ66" s="194"/>
      <c r="FK66" s="31"/>
      <c r="FL66" s="31"/>
      <c r="FM66" s="31"/>
      <c r="FN66" s="31"/>
      <c r="FO66" s="31"/>
      <c r="FP66" s="31"/>
      <c r="FQ66" s="31"/>
      <c r="FR66" s="31"/>
      <c r="FS66" s="31"/>
      <c r="FT66" s="31"/>
      <c r="FU66" s="31"/>
      <c r="FV66" s="31"/>
      <c r="FW66" s="31"/>
      <c r="FX66" s="529"/>
      <c r="FY66" s="652">
        <f t="shared" si="249"/>
        <v>1124636.94</v>
      </c>
      <c r="FZ66" s="550">
        <f t="shared" si="146"/>
        <v>1124636.94</v>
      </c>
      <c r="GA66" s="45"/>
      <c r="GB66" s="602">
        <f>GM66+GN66+GR66</f>
        <v>159844</v>
      </c>
      <c r="GC66" s="28" t="e">
        <f t="shared" si="250"/>
        <v>#DIV/0!</v>
      </c>
      <c r="GD66" s="28">
        <f t="shared" si="161"/>
        <v>48897.258260869559</v>
      </c>
      <c r="GE66" s="49"/>
      <c r="GF66" s="417"/>
      <c r="GG66" s="28">
        <f t="shared" si="252"/>
        <v>0</v>
      </c>
      <c r="GH66" s="49">
        <v>784792.94</v>
      </c>
      <c r="GI66" s="267"/>
      <c r="GJ66" s="267"/>
      <c r="GK66" s="407">
        <f t="shared" si="163"/>
        <v>34121.432173913039</v>
      </c>
      <c r="GL66" s="49"/>
      <c r="GM66" s="45">
        <v>115000</v>
      </c>
      <c r="GN66" s="45"/>
      <c r="GO66" s="23">
        <f t="shared" si="251"/>
        <v>0.10225522202747493</v>
      </c>
      <c r="GP66" s="45">
        <v>180000</v>
      </c>
      <c r="GQ66" s="45"/>
      <c r="GR66" s="45">
        <f>1680+30214.8+12949.2</f>
        <v>44844</v>
      </c>
      <c r="GS66" s="28">
        <f t="shared" si="222"/>
        <v>5000</v>
      </c>
      <c r="GT66" s="28">
        <f t="shared" si="223"/>
        <v>5000</v>
      </c>
      <c r="GU66" s="682"/>
      <c r="GV66" s="682"/>
      <c r="GW66" s="680" t="e">
        <f>(#REF!+#REF!+GV66)/AD66</f>
        <v>#REF!</v>
      </c>
      <c r="GX66" s="682"/>
      <c r="GY66" s="680">
        <f t="shared" si="224"/>
        <v>5000</v>
      </c>
      <c r="GZ66" s="681" t="e">
        <f>(#REF!+#REF!+GV66+GX66)/(GU66+#REF!-HA66)</f>
        <v>#REF!</v>
      </c>
      <c r="HA66" s="682"/>
      <c r="HB66" s="682"/>
      <c r="HC66" s="45"/>
      <c r="HD66" s="602">
        <v>73063.454279999991</v>
      </c>
      <c r="HE66" s="608">
        <f t="shared" si="225"/>
        <v>6.4966258604310115E-2</v>
      </c>
      <c r="HF66" s="602">
        <f t="shared" si="226"/>
        <v>1051573.48572</v>
      </c>
      <c r="HG66" s="602">
        <f t="shared" ca="1" si="235"/>
        <v>1051573.48572</v>
      </c>
      <c r="HH66" s="608">
        <f ca="1">(HD66+HG66)/FZ66</f>
        <v>1</v>
      </c>
      <c r="HI66" s="602"/>
      <c r="HJ66" s="602">
        <f t="shared" ref="HJ66:HJ97" si="257">GB66-HI66</f>
        <v>159844</v>
      </c>
      <c r="HK66" s="602">
        <f t="shared" si="253"/>
        <v>0</v>
      </c>
      <c r="HL66" s="602" t="s">
        <v>789</v>
      </c>
      <c r="HM66" s="673"/>
      <c r="HN66" s="62"/>
      <c r="HO66" s="673"/>
      <c r="HP66" s="673">
        <f t="shared" si="236"/>
        <v>0</v>
      </c>
      <c r="HQ66" s="539"/>
      <c r="HR66" s="539"/>
      <c r="HS66" s="539"/>
      <c r="HT66" s="539"/>
      <c r="HU66" s="539"/>
      <c r="HV66" s="673"/>
      <c r="HW66" s="673">
        <f t="shared" si="199"/>
        <v>0</v>
      </c>
      <c r="HX66" s="539"/>
    </row>
    <row r="67" spans="1:232" ht="33.75" customHeight="1">
      <c r="A67" s="510" t="s">
        <v>324</v>
      </c>
      <c r="B67" s="31" t="s">
        <v>31</v>
      </c>
      <c r="C67" s="31" t="s">
        <v>90</v>
      </c>
      <c r="D67" s="31">
        <v>2018</v>
      </c>
      <c r="E67" s="31"/>
      <c r="F67" s="31" t="s">
        <v>309</v>
      </c>
      <c r="G67" s="6" t="s">
        <v>142</v>
      </c>
      <c r="H67" s="31" t="s">
        <v>140</v>
      </c>
      <c r="I67" s="31"/>
      <c r="J67" s="31" t="s">
        <v>329</v>
      </c>
      <c r="K67" s="180" t="s">
        <v>364</v>
      </c>
      <c r="L67" s="114" t="s">
        <v>44</v>
      </c>
      <c r="M67" s="115" t="s">
        <v>343</v>
      </c>
      <c r="N67" s="116">
        <v>34319</v>
      </c>
      <c r="O67" s="159"/>
      <c r="P67" s="159"/>
      <c r="Q67" s="159"/>
      <c r="R67" s="159"/>
      <c r="S67" s="159"/>
      <c r="T67" s="386"/>
      <c r="U67" s="386"/>
      <c r="V67" s="386"/>
      <c r="W67" s="159"/>
      <c r="X67" s="143"/>
      <c r="Y67" s="525" t="e">
        <f t="shared" si="206"/>
        <v>#DIV/0!</v>
      </c>
      <c r="Z67" s="143"/>
      <c r="AA67" s="143"/>
      <c r="AB67" s="144"/>
      <c r="AC67" s="31" t="s">
        <v>308</v>
      </c>
      <c r="AD67" s="493">
        <f t="shared" si="243"/>
        <v>34</v>
      </c>
      <c r="AE67" s="493">
        <f t="shared" si="207"/>
        <v>0</v>
      </c>
      <c r="AF67" s="42"/>
      <c r="AG67" s="42"/>
      <c r="AH67" s="42"/>
      <c r="AI67" s="131">
        <v>34</v>
      </c>
      <c r="AJ67" s="796"/>
      <c r="AK67" s="276"/>
      <c r="AL67" s="586">
        <f t="shared" si="244"/>
        <v>0</v>
      </c>
      <c r="AM67" s="8">
        <f t="shared" si="245"/>
        <v>0</v>
      </c>
      <c r="AN67" s="35"/>
      <c r="AO67" s="35"/>
      <c r="AP67" s="35"/>
      <c r="AQ67" s="53"/>
      <c r="AR67" s="53"/>
      <c r="AS67" s="53"/>
      <c r="AT67" s="53"/>
      <c r="AU67" s="53"/>
      <c r="AV67" s="35"/>
      <c r="AW67" s="51"/>
      <c r="AX67" s="53"/>
      <c r="AY67" s="35"/>
      <c r="AZ67" s="31"/>
      <c r="BA67" s="31"/>
      <c r="BB67" s="31"/>
      <c r="BC67" s="31"/>
      <c r="BD67" s="31"/>
      <c r="BE67" s="31"/>
      <c r="BF67" s="31"/>
      <c r="BG67" s="31"/>
      <c r="BH67" s="73">
        <v>43308</v>
      </c>
      <c r="BI67" s="73">
        <v>43308</v>
      </c>
      <c r="BJ67" s="660">
        <v>43189</v>
      </c>
      <c r="BK67" s="660">
        <v>43335</v>
      </c>
      <c r="BL67" s="661">
        <v>43502</v>
      </c>
      <c r="BM67" s="659">
        <f t="shared" si="246"/>
        <v>4.8666666666666663</v>
      </c>
      <c r="BN67" s="578"/>
      <c r="BO67" s="110">
        <v>43396</v>
      </c>
      <c r="BP67" s="138">
        <v>43487</v>
      </c>
      <c r="BQ67" s="654">
        <f t="shared" si="239"/>
        <v>3.0333333333333332</v>
      </c>
      <c r="BR67" s="638">
        <v>91972</v>
      </c>
      <c r="BS67" s="452">
        <f>DATE(YEAR(BP67),MONTH(BP67)+3,DAY(BP67))</f>
        <v>43577</v>
      </c>
      <c r="BT67" s="110">
        <v>43501</v>
      </c>
      <c r="BU67" s="202">
        <v>43525</v>
      </c>
      <c r="BV67" s="201">
        <f t="shared" si="208"/>
        <v>44256</v>
      </c>
      <c r="BW67" s="439">
        <v>27026</v>
      </c>
      <c r="BX67" s="555"/>
      <c r="BY67" s="556"/>
      <c r="BZ67" s="556"/>
      <c r="CA67" s="556"/>
      <c r="CB67" s="339">
        <v>42927</v>
      </c>
      <c r="CC67" s="341"/>
      <c r="CD67" s="341"/>
      <c r="CE67" s="343" t="str">
        <f t="shared" si="229"/>
        <v>0</v>
      </c>
      <c r="CF67" s="341">
        <v>43067</v>
      </c>
      <c r="CG67" s="341">
        <f ca="1">IF(CF67&lt;TODAY(),TODAY(),CF67)</f>
        <v>43950</v>
      </c>
      <c r="CH67" s="326">
        <f t="shared" ca="1" si="230"/>
        <v>883</v>
      </c>
      <c r="CI67" s="341">
        <v>43046</v>
      </c>
      <c r="CJ67" s="341">
        <f ca="1">IF(CI67&lt;TODAY(),TODAY(),CI67)</f>
        <v>43950</v>
      </c>
      <c r="CK67" s="326">
        <f t="shared" ca="1" si="231"/>
        <v>904</v>
      </c>
      <c r="CL67" s="341">
        <v>43126</v>
      </c>
      <c r="CM67" s="341">
        <f ca="1">IF(CL67&lt;TODAY(),TODAY(),CL67)</f>
        <v>43950</v>
      </c>
      <c r="CN67" s="326">
        <f t="shared" ca="1" si="232"/>
        <v>824</v>
      </c>
      <c r="CO67" s="341">
        <v>43187</v>
      </c>
      <c r="CP67" s="341">
        <f ca="1">IF(CO67&lt;TODAY(),TODAY(),CO67)</f>
        <v>43950</v>
      </c>
      <c r="CQ67" s="326">
        <f t="shared" ca="1" si="247"/>
        <v>763</v>
      </c>
      <c r="CR67" s="290"/>
      <c r="CS67" s="339">
        <v>43403</v>
      </c>
      <c r="CT67" s="330">
        <v>43630</v>
      </c>
      <c r="CU67" s="335">
        <f ca="1">IF(CT67&lt;TODAY(),TODAY(),CT67)</f>
        <v>43950</v>
      </c>
      <c r="CV67" s="332">
        <f ca="1">IF(AND(CT67&gt;0,CU67&gt;0),CU67-CT67,"0")</f>
        <v>320</v>
      </c>
      <c r="CW67" s="214">
        <v>43647</v>
      </c>
      <c r="CX67" s="282">
        <v>43650</v>
      </c>
      <c r="CY67" s="283">
        <v>2019</v>
      </c>
      <c r="CZ67" s="288">
        <f t="shared" si="240"/>
        <v>10.5</v>
      </c>
      <c r="DA67" s="448">
        <f t="shared" si="209"/>
        <v>3</v>
      </c>
      <c r="DB67" s="179">
        <v>10</v>
      </c>
      <c r="DC67" s="76">
        <f t="shared" si="210"/>
        <v>13</v>
      </c>
      <c r="DD67" s="330"/>
      <c r="DE67" s="335">
        <f t="shared" ca="1" si="254"/>
        <v>43950</v>
      </c>
      <c r="DF67" s="332" t="str">
        <f t="shared" ca="1" si="233"/>
        <v>0</v>
      </c>
      <c r="DG67" s="330"/>
      <c r="DH67" s="348">
        <f ca="1">IF(DG67&lt;TODAY(),TODAY(),DG67)</f>
        <v>43950</v>
      </c>
      <c r="DI67" s="333" t="str">
        <f t="shared" ca="1" si="212"/>
        <v>0</v>
      </c>
      <c r="DJ67" s="334"/>
      <c r="DK67" s="348">
        <f t="shared" ca="1" si="213"/>
        <v>43950</v>
      </c>
      <c r="DL67" s="332" t="str">
        <f t="shared" ca="1" si="214"/>
        <v>0</v>
      </c>
      <c r="DM67" s="335">
        <v>43510</v>
      </c>
      <c r="DN67" s="335">
        <f t="shared" ca="1" si="255"/>
        <v>43950</v>
      </c>
      <c r="DO67" s="332">
        <f t="shared" ca="1" si="216"/>
        <v>440</v>
      </c>
      <c r="DP67" s="336"/>
      <c r="DQ67" s="336"/>
      <c r="DR67" s="332" t="str">
        <f t="shared" si="217"/>
        <v>0</v>
      </c>
      <c r="DS67" s="335"/>
      <c r="DT67" s="335">
        <f t="shared" ca="1" si="218"/>
        <v>43950</v>
      </c>
      <c r="DU67" s="332" t="str">
        <f t="shared" ca="1" si="219"/>
        <v>0</v>
      </c>
      <c r="DV67" s="335">
        <v>43587</v>
      </c>
      <c r="DW67" s="335">
        <f t="shared" ca="1" si="256"/>
        <v>43950</v>
      </c>
      <c r="DX67" s="332">
        <f t="shared" ca="1" si="221"/>
        <v>363</v>
      </c>
      <c r="DY67" s="335"/>
      <c r="DZ67" s="335"/>
      <c r="EA67" s="335"/>
      <c r="EB67" s="477">
        <f t="shared" ref="EB67:EB98" si="258">DATE(YEAR(CX67),MONTH(CX67)+DB67,DAY(CX67))</f>
        <v>43955</v>
      </c>
      <c r="EC67" s="476">
        <f>DATE(YEAR(EB67),MONTH(EB67)+3,DAY(EB67))</f>
        <v>44047</v>
      </c>
      <c r="ED67" s="473">
        <f t="shared" si="248"/>
        <v>3.0666666666666669</v>
      </c>
      <c r="EE67" s="605">
        <f t="shared" ca="1" si="228"/>
        <v>3.2333333333333334</v>
      </c>
      <c r="EF67" s="537">
        <f t="shared" ca="1" si="202"/>
        <v>44680</v>
      </c>
      <c r="EG67" s="535"/>
      <c r="EH67" s="526"/>
      <c r="EI67" s="536"/>
      <c r="EJ67" s="295"/>
      <c r="EK67" s="534">
        <f t="shared" si="242"/>
        <v>43986</v>
      </c>
      <c r="EL67" s="476">
        <f t="shared" si="241"/>
        <v>44078</v>
      </c>
      <c r="EM67" s="368"/>
      <c r="EN67" s="471">
        <f>(EL67-EK67)/30</f>
        <v>3.0666666666666669</v>
      </c>
      <c r="EO67" s="461"/>
      <c r="EP67" s="173">
        <f t="shared" si="158"/>
        <v>0</v>
      </c>
      <c r="EQ67" s="77"/>
      <c r="ER67" s="353">
        <v>0</v>
      </c>
      <c r="ES67" s="353">
        <v>0</v>
      </c>
      <c r="ET67" s="353">
        <v>251577</v>
      </c>
      <c r="EU67" s="353"/>
      <c r="EV67" s="353"/>
      <c r="EW67" s="483">
        <f t="shared" si="159"/>
        <v>0</v>
      </c>
      <c r="EX67" s="350"/>
      <c r="EY67" s="362"/>
      <c r="EZ67" s="350" t="s">
        <v>930</v>
      </c>
      <c r="FA67" s="362"/>
      <c r="FB67" s="126">
        <f t="shared" ca="1" si="234"/>
        <v>44680</v>
      </c>
      <c r="FC67" s="80"/>
      <c r="FD67" s="80"/>
      <c r="FE67" s="80"/>
      <c r="FF67" s="80"/>
      <c r="FG67" s="80"/>
      <c r="FH67" s="31"/>
      <c r="FI67" s="194">
        <f t="shared" si="201"/>
        <v>44412</v>
      </c>
      <c r="FJ67" s="194"/>
      <c r="FK67" s="31"/>
      <c r="FL67" s="31"/>
      <c r="FM67" s="31"/>
      <c r="FN67" s="31"/>
      <c r="FO67" s="31"/>
      <c r="FP67" s="31"/>
      <c r="FQ67" s="31"/>
      <c r="FR67" s="31"/>
      <c r="FS67" s="31"/>
      <c r="FT67" s="31"/>
      <c r="FU67" s="31"/>
      <c r="FV67" s="31"/>
      <c r="FW67" s="31"/>
      <c r="FX67" s="529"/>
      <c r="FY67" s="652">
        <f t="shared" si="249"/>
        <v>1032790.2</v>
      </c>
      <c r="FZ67" s="550">
        <f t="shared" si="146"/>
        <v>1032790.2</v>
      </c>
      <c r="GA67" s="45"/>
      <c r="GB67" s="602">
        <f>GM67+GN67+GR67</f>
        <v>137680</v>
      </c>
      <c r="GC67" s="28" t="e">
        <f t="shared" si="250"/>
        <v>#DIV/0!</v>
      </c>
      <c r="GD67" s="28" t="e">
        <f>#REF!/AD67</f>
        <v>#REF!</v>
      </c>
      <c r="GE67" s="45"/>
      <c r="GF67" s="417"/>
      <c r="GG67" s="28">
        <f t="shared" si="252"/>
        <v>0</v>
      </c>
      <c r="GH67" s="45">
        <v>555110.19999999995</v>
      </c>
      <c r="GI67" s="267"/>
      <c r="GJ67" s="267"/>
      <c r="GK67" s="407">
        <f t="shared" si="163"/>
        <v>16326.770588235293</v>
      </c>
      <c r="GL67" s="49"/>
      <c r="GM67" s="45">
        <v>136000</v>
      </c>
      <c r="GN67" s="45"/>
      <c r="GO67" s="23">
        <f t="shared" si="251"/>
        <v>0.13168211704564975</v>
      </c>
      <c r="GP67" s="45">
        <v>340000</v>
      </c>
      <c r="GQ67" s="45"/>
      <c r="GR67" s="45">
        <v>1680</v>
      </c>
      <c r="GS67" s="28">
        <f t="shared" si="222"/>
        <v>4000</v>
      </c>
      <c r="GT67" s="28">
        <f t="shared" si="223"/>
        <v>4000</v>
      </c>
      <c r="GU67" s="682"/>
      <c r="GV67" s="682"/>
      <c r="GW67" s="680" t="e">
        <f>(#REF!+#REF!+GV67)/AD67</f>
        <v>#REF!</v>
      </c>
      <c r="GX67" s="682"/>
      <c r="GY67" s="680">
        <f t="shared" si="224"/>
        <v>4000</v>
      </c>
      <c r="GZ67" s="681" t="e">
        <f>(#REF!+#REF!+GV67+GX67)/(GU67+#REF!-HA67)</f>
        <v>#REF!</v>
      </c>
      <c r="HA67" s="682"/>
      <c r="HB67" s="682"/>
      <c r="HC67" s="45"/>
      <c r="HD67" s="602">
        <v>77547.36976999999</v>
      </c>
      <c r="HE67" s="608">
        <f t="shared" si="225"/>
        <v>7.5085307519378086E-2</v>
      </c>
      <c r="HF67" s="602">
        <f t="shared" si="226"/>
        <v>955242.83022999996</v>
      </c>
      <c r="HG67" s="602">
        <f t="shared" ca="1" si="235"/>
        <v>955242.83022999996</v>
      </c>
      <c r="HH67" s="608">
        <f ca="1">(HD67+HG67)/FZ67</f>
        <v>1</v>
      </c>
      <c r="HI67" s="602"/>
      <c r="HJ67" s="602">
        <f t="shared" si="257"/>
        <v>137680</v>
      </c>
      <c r="HK67" s="602">
        <f t="shared" si="253"/>
        <v>0</v>
      </c>
      <c r="HL67" s="602"/>
      <c r="HM67" s="673"/>
      <c r="HN67" s="62"/>
      <c r="HO67" s="673"/>
      <c r="HP67" s="673">
        <f t="shared" si="236"/>
        <v>0</v>
      </c>
      <c r="HQ67" s="539"/>
      <c r="HR67" s="539"/>
      <c r="HS67" s="539"/>
      <c r="HT67" s="539"/>
      <c r="HU67" s="539"/>
      <c r="HV67" s="673"/>
      <c r="HW67" s="673">
        <f t="shared" si="199"/>
        <v>0</v>
      </c>
      <c r="HX67" s="539"/>
    </row>
    <row r="68" spans="1:232" ht="75.75" customHeight="1">
      <c r="A68" s="510" t="s">
        <v>325</v>
      </c>
      <c r="B68" s="31" t="s">
        <v>21</v>
      </c>
      <c r="C68" s="31" t="s">
        <v>90</v>
      </c>
      <c r="D68" s="31">
        <v>2018</v>
      </c>
      <c r="E68" s="31"/>
      <c r="F68" s="31" t="s">
        <v>309</v>
      </c>
      <c r="G68" s="31" t="s">
        <v>142</v>
      </c>
      <c r="H68" s="31" t="s">
        <v>140</v>
      </c>
      <c r="I68" s="31"/>
      <c r="J68" s="31" t="s">
        <v>330</v>
      </c>
      <c r="K68" s="180" t="s">
        <v>341</v>
      </c>
      <c r="L68" s="114" t="s">
        <v>44</v>
      </c>
      <c r="M68" s="115" t="s">
        <v>340</v>
      </c>
      <c r="N68" s="116">
        <v>34912</v>
      </c>
      <c r="O68" s="159"/>
      <c r="P68" s="159"/>
      <c r="Q68" s="159"/>
      <c r="R68" s="159"/>
      <c r="S68" s="159"/>
      <c r="T68" s="386"/>
      <c r="U68" s="386"/>
      <c r="V68" s="386"/>
      <c r="W68" s="159"/>
      <c r="X68" s="143"/>
      <c r="Y68" s="525" t="e">
        <f t="shared" si="206"/>
        <v>#DIV/0!</v>
      </c>
      <c r="Z68" s="143"/>
      <c r="AA68" s="143"/>
      <c r="AB68" s="144"/>
      <c r="AC68" s="31" t="s">
        <v>308</v>
      </c>
      <c r="AD68" s="493">
        <f t="shared" si="243"/>
        <v>128</v>
      </c>
      <c r="AE68" s="493">
        <f t="shared" si="207"/>
        <v>0</v>
      </c>
      <c r="AF68" s="42"/>
      <c r="AG68" s="42"/>
      <c r="AH68" s="42"/>
      <c r="AI68" s="131">
        <v>128</v>
      </c>
      <c r="AJ68" s="796"/>
      <c r="AK68" s="276"/>
      <c r="AL68" s="586">
        <f t="shared" si="244"/>
        <v>0</v>
      </c>
      <c r="AM68" s="8">
        <f t="shared" si="245"/>
        <v>0</v>
      </c>
      <c r="AN68" s="35"/>
      <c r="AO68" s="35"/>
      <c r="AP68" s="35"/>
      <c r="AQ68" s="53"/>
      <c r="AR68" s="53"/>
      <c r="AS68" s="53"/>
      <c r="AT68" s="53"/>
      <c r="AU68" s="53"/>
      <c r="AV68" s="35"/>
      <c r="AW68" s="51"/>
      <c r="AX68" s="53"/>
      <c r="AY68" s="35"/>
      <c r="AZ68" s="31"/>
      <c r="BA68" s="31"/>
      <c r="BB68" s="31"/>
      <c r="BC68" s="31"/>
      <c r="BD68" s="31"/>
      <c r="BE68" s="31"/>
      <c r="BF68" s="31"/>
      <c r="BG68" s="31"/>
      <c r="BH68" s="73">
        <v>43308</v>
      </c>
      <c r="BI68" s="73">
        <v>43308</v>
      </c>
      <c r="BJ68" s="660">
        <v>43189</v>
      </c>
      <c r="BK68" s="660">
        <v>43434</v>
      </c>
      <c r="BL68" s="661">
        <v>43502</v>
      </c>
      <c r="BM68" s="659">
        <f t="shared" si="246"/>
        <v>8.1666666666666661</v>
      </c>
      <c r="BN68" s="578" t="s">
        <v>235</v>
      </c>
      <c r="BO68" s="110">
        <v>43311</v>
      </c>
      <c r="BP68" s="138">
        <v>43608</v>
      </c>
      <c r="BQ68" s="654">
        <f t="shared" si="239"/>
        <v>9.9</v>
      </c>
      <c r="BR68" s="638">
        <v>96964</v>
      </c>
      <c r="BS68" s="110">
        <f>DATE(YEAR(BP68),MONTH(BP68)+3,DAY(BP68))</f>
        <v>43700</v>
      </c>
      <c r="BT68" s="110">
        <v>43608</v>
      </c>
      <c r="BU68" s="202">
        <v>43608</v>
      </c>
      <c r="BV68" s="201">
        <f t="shared" si="208"/>
        <v>44339</v>
      </c>
      <c r="BW68" s="439"/>
      <c r="BX68" s="555"/>
      <c r="BY68" s="556"/>
      <c r="BZ68" s="556"/>
      <c r="CA68" s="556"/>
      <c r="CB68" s="339">
        <v>42935</v>
      </c>
      <c r="CC68" s="340"/>
      <c r="CD68" s="340"/>
      <c r="CE68" s="343" t="str">
        <f t="shared" si="229"/>
        <v>0</v>
      </c>
      <c r="CF68" s="341">
        <v>43038</v>
      </c>
      <c r="CG68" s="341">
        <f ca="1">IF(CF68&lt;TODAY(),TODAY(),CF68)</f>
        <v>43950</v>
      </c>
      <c r="CH68" s="326">
        <f t="shared" ca="1" si="230"/>
        <v>912</v>
      </c>
      <c r="CI68" s="341">
        <v>43017</v>
      </c>
      <c r="CJ68" s="339">
        <f ca="1">IF(CI68&lt;TODAY(),TODAY(),CI68)</f>
        <v>43950</v>
      </c>
      <c r="CK68" s="326">
        <f t="shared" ca="1" si="231"/>
        <v>933</v>
      </c>
      <c r="CL68" s="341">
        <v>43098</v>
      </c>
      <c r="CM68" s="339">
        <f ca="1">IF(CL68&lt;TODAY(),TODAY(),CL68)</f>
        <v>43950</v>
      </c>
      <c r="CN68" s="326">
        <f t="shared" ca="1" si="232"/>
        <v>852</v>
      </c>
      <c r="CO68" s="341">
        <v>43158</v>
      </c>
      <c r="CP68" s="341">
        <f ca="1">IF(CO68&lt;TODAY(),TODAY(),CO68)</f>
        <v>43950</v>
      </c>
      <c r="CQ68" s="326">
        <f t="shared" ca="1" si="247"/>
        <v>792</v>
      </c>
      <c r="CR68" s="290"/>
      <c r="CS68" s="339">
        <v>43403</v>
      </c>
      <c r="CT68" s="330">
        <v>43602</v>
      </c>
      <c r="CU68" s="335">
        <f ca="1">IF(CT68&lt;TODAY(),TODAY(),CT68)</f>
        <v>43950</v>
      </c>
      <c r="CV68" s="332">
        <f ca="1">IF(AND(CT68&gt;0,CU68&gt;0),CU68-CT68,"0")</f>
        <v>348</v>
      </c>
      <c r="CW68" s="214">
        <v>43616</v>
      </c>
      <c r="CX68" s="282">
        <v>43668</v>
      </c>
      <c r="CY68" s="283">
        <v>2019</v>
      </c>
      <c r="CZ68" s="288">
        <f t="shared" si="240"/>
        <v>7.8</v>
      </c>
      <c r="DA68" s="448">
        <f t="shared" si="209"/>
        <v>52</v>
      </c>
      <c r="DB68" s="179">
        <v>12</v>
      </c>
      <c r="DC68" s="76">
        <f t="shared" si="210"/>
        <v>15</v>
      </c>
      <c r="DD68" s="330"/>
      <c r="DE68" s="335">
        <f t="shared" ca="1" si="254"/>
        <v>43950</v>
      </c>
      <c r="DF68" s="332" t="str">
        <f t="shared" ca="1" si="233"/>
        <v>0</v>
      </c>
      <c r="DG68" s="330"/>
      <c r="DH68" s="348">
        <f ca="1">IF(DG68&lt;TODAY(),TODAY(),DG68)</f>
        <v>43950</v>
      </c>
      <c r="DI68" s="333" t="str">
        <f t="shared" ca="1" si="212"/>
        <v>0</v>
      </c>
      <c r="DJ68" s="334"/>
      <c r="DK68" s="348">
        <f t="shared" ca="1" si="213"/>
        <v>43950</v>
      </c>
      <c r="DL68" s="332" t="str">
        <f t="shared" ca="1" si="214"/>
        <v>0</v>
      </c>
      <c r="DM68" s="335">
        <v>43507</v>
      </c>
      <c r="DN68" s="335">
        <f t="shared" ca="1" si="255"/>
        <v>43950</v>
      </c>
      <c r="DO68" s="332">
        <f t="shared" ca="1" si="216"/>
        <v>443</v>
      </c>
      <c r="DP68" s="336"/>
      <c r="DQ68" s="336"/>
      <c r="DR68" s="332" t="str">
        <f t="shared" si="217"/>
        <v>0</v>
      </c>
      <c r="DS68" s="335"/>
      <c r="DT68" s="335">
        <f t="shared" ca="1" si="218"/>
        <v>43950</v>
      </c>
      <c r="DU68" s="332" t="str">
        <f t="shared" ca="1" si="219"/>
        <v>0</v>
      </c>
      <c r="DV68" s="335">
        <v>43584</v>
      </c>
      <c r="DW68" s="335">
        <f t="shared" ca="1" si="256"/>
        <v>43950</v>
      </c>
      <c r="DX68" s="332">
        <f t="shared" ca="1" si="221"/>
        <v>366</v>
      </c>
      <c r="DY68" s="336"/>
      <c r="DZ68" s="336"/>
      <c r="EA68" s="336"/>
      <c r="EB68" s="477">
        <f t="shared" si="258"/>
        <v>44034</v>
      </c>
      <c r="EC68" s="476">
        <v>44126</v>
      </c>
      <c r="ED68" s="473">
        <f t="shared" si="248"/>
        <v>3.0666666666666669</v>
      </c>
      <c r="EE68" s="605">
        <f t="shared" ca="1" si="228"/>
        <v>5.8666666666666663</v>
      </c>
      <c r="EF68" s="537">
        <f t="shared" ca="1" si="202"/>
        <v>44680</v>
      </c>
      <c r="EG68" s="535"/>
      <c r="EH68" s="526"/>
      <c r="EI68" s="536"/>
      <c r="EJ68" s="295"/>
      <c r="EK68" s="534">
        <f t="shared" si="242"/>
        <v>44065</v>
      </c>
      <c r="EL68" s="476">
        <f t="shared" si="241"/>
        <v>44157</v>
      </c>
      <c r="EM68" s="368"/>
      <c r="EN68" s="471">
        <f>(EL68-EK68)/30</f>
        <v>3.0666666666666669</v>
      </c>
      <c r="EO68" s="461"/>
      <c r="EP68" s="173">
        <f t="shared" ref="EP68:EP99" si="259">EO68*EN68</f>
        <v>0</v>
      </c>
      <c r="EQ68" s="77"/>
      <c r="ER68" s="353">
        <v>0</v>
      </c>
      <c r="ES68" s="353">
        <v>0</v>
      </c>
      <c r="ET68" s="353">
        <v>356938</v>
      </c>
      <c r="EU68" s="353"/>
      <c r="EV68" s="353"/>
      <c r="EW68" s="483">
        <f t="shared" ref="EW68:EW99" si="260">EV68/FZ68</f>
        <v>0</v>
      </c>
      <c r="EX68" s="350"/>
      <c r="EY68" s="362"/>
      <c r="EZ68" s="350" t="s">
        <v>930</v>
      </c>
      <c r="FA68" s="362"/>
      <c r="FB68" s="126">
        <f t="shared" ca="1" si="234"/>
        <v>44680</v>
      </c>
      <c r="FC68" s="80"/>
      <c r="FD68" s="80"/>
      <c r="FE68" s="80"/>
      <c r="FF68" s="80"/>
      <c r="FG68" s="80"/>
      <c r="FH68" s="31"/>
      <c r="FI68" s="194">
        <f t="shared" si="201"/>
        <v>44491</v>
      </c>
      <c r="FJ68" s="194"/>
      <c r="FK68" s="31"/>
      <c r="FL68" s="31"/>
      <c r="FM68" s="31"/>
      <c r="FN68" s="31"/>
      <c r="FO68" s="31"/>
      <c r="FP68" s="31"/>
      <c r="FQ68" s="31"/>
      <c r="FR68" s="31"/>
      <c r="FS68" s="31"/>
      <c r="FT68" s="31"/>
      <c r="FU68" s="31"/>
      <c r="FV68" s="31"/>
      <c r="FW68" s="31"/>
      <c r="FX68" s="529"/>
      <c r="FY68" s="652">
        <f t="shared" si="249"/>
        <v>3625157.8000000003</v>
      </c>
      <c r="FZ68" s="550">
        <f t="shared" si="146"/>
        <v>3625157.8000000003</v>
      </c>
      <c r="GA68" s="45"/>
      <c r="GB68" s="602">
        <f>GM68+GN68+GR68</f>
        <v>657745.55999999994</v>
      </c>
      <c r="GC68" s="28" t="e">
        <f t="shared" si="250"/>
        <v>#DIV/0!</v>
      </c>
      <c r="GD68" s="28">
        <f t="shared" ref="GD68:GD99" si="261">FZ68/AD68</f>
        <v>28321.545312500002</v>
      </c>
      <c r="GE68" s="49"/>
      <c r="GF68" s="417"/>
      <c r="GG68" s="28">
        <f t="shared" si="252"/>
        <v>0</v>
      </c>
      <c r="GH68" s="49">
        <v>2287412.2400000002</v>
      </c>
      <c r="GI68" s="267"/>
      <c r="GJ68" s="267"/>
      <c r="GK68" s="407">
        <f t="shared" ref="GK68:GK99" si="262">GH68/AD68</f>
        <v>17870.408125000002</v>
      </c>
      <c r="GL68" s="49"/>
      <c r="GM68" s="45">
        <v>655705.55999999994</v>
      </c>
      <c r="GN68" s="45"/>
      <c r="GO68" s="23">
        <f t="shared" si="251"/>
        <v>0.18087641867617457</v>
      </c>
      <c r="GP68" s="45">
        <v>680000</v>
      </c>
      <c r="GQ68" s="45"/>
      <c r="GR68" s="45">
        <v>2040</v>
      </c>
      <c r="GS68" s="28">
        <f t="shared" si="222"/>
        <v>5122.6996874999995</v>
      </c>
      <c r="GT68" s="28">
        <f t="shared" si="223"/>
        <v>5122.6996874999995</v>
      </c>
      <c r="GU68" s="682"/>
      <c r="GV68" s="682"/>
      <c r="GW68" s="680" t="e">
        <f>(#REF!+#REF!+GV68)/AD68</f>
        <v>#REF!</v>
      </c>
      <c r="GX68" s="682"/>
      <c r="GY68" s="680">
        <f t="shared" si="224"/>
        <v>5122.6996874999995</v>
      </c>
      <c r="GZ68" s="681" t="e">
        <f>(#REF!+#REF!+GV68+GX68)/(GU68+#REF!-HA68)</f>
        <v>#REF!</v>
      </c>
      <c r="HA68" s="682"/>
      <c r="HB68" s="682"/>
      <c r="HC68" s="45"/>
      <c r="HD68" s="602">
        <v>239678.49416999996</v>
      </c>
      <c r="HE68" s="608">
        <f t="shared" si="225"/>
        <v>6.6115327219686812E-2</v>
      </c>
      <c r="HF68" s="602">
        <f t="shared" si="226"/>
        <v>3385479.3058300004</v>
      </c>
      <c r="HG68" s="602">
        <f t="shared" ca="1" si="235"/>
        <v>3385479.3058300004</v>
      </c>
      <c r="HH68" s="608">
        <f ca="1">(HD68+HG68)/FZ68</f>
        <v>1</v>
      </c>
      <c r="HI68" s="602"/>
      <c r="HJ68" s="602">
        <f t="shared" si="257"/>
        <v>657745.55999999994</v>
      </c>
      <c r="HK68" s="602">
        <f t="shared" si="253"/>
        <v>0</v>
      </c>
      <c r="HL68" s="602" t="s">
        <v>789</v>
      </c>
      <c r="HM68" s="673"/>
      <c r="HN68" s="62"/>
      <c r="HO68" s="673"/>
      <c r="HP68" s="673">
        <f t="shared" si="236"/>
        <v>0</v>
      </c>
      <c r="HQ68" s="539"/>
      <c r="HR68" s="539"/>
      <c r="HS68" s="539"/>
      <c r="HT68" s="539"/>
      <c r="HU68" s="539"/>
      <c r="HV68" s="673"/>
      <c r="HW68" s="673">
        <f t="shared" si="199"/>
        <v>0</v>
      </c>
      <c r="HX68" s="539"/>
    </row>
    <row r="69" spans="1:232" ht="51.75" customHeight="1">
      <c r="A69" s="560" t="s">
        <v>285</v>
      </c>
      <c r="B69" s="31" t="s">
        <v>21</v>
      </c>
      <c r="C69" s="31" t="s">
        <v>90</v>
      </c>
      <c r="D69" s="31">
        <v>2017</v>
      </c>
      <c r="E69" s="31" t="s">
        <v>291</v>
      </c>
      <c r="F69" s="31" t="s">
        <v>40</v>
      </c>
      <c r="G69" s="31" t="s">
        <v>605</v>
      </c>
      <c r="H69" s="31" t="s">
        <v>138</v>
      </c>
      <c r="I69" s="31"/>
      <c r="J69" s="31" t="s">
        <v>286</v>
      </c>
      <c r="K69" s="180" t="s">
        <v>446</v>
      </c>
      <c r="L69" s="114"/>
      <c r="M69" s="115"/>
      <c r="N69" s="116"/>
      <c r="O69" s="142">
        <v>1976</v>
      </c>
      <c r="P69" s="142">
        <v>300000</v>
      </c>
      <c r="Q69" s="142"/>
      <c r="R69" s="142">
        <f>P69/AD69</f>
        <v>12500</v>
      </c>
      <c r="S69" s="142">
        <f>P69/O69</f>
        <v>151.82186234817814</v>
      </c>
      <c r="T69" s="148">
        <f>Q69/O69</f>
        <v>0</v>
      </c>
      <c r="U69" s="148">
        <f>Q69/AK69</f>
        <v>0</v>
      </c>
      <c r="V69" s="148">
        <f>Q69/AD69</f>
        <v>0</v>
      </c>
      <c r="W69" s="142">
        <f>O69/AD69</f>
        <v>82.333333333333329</v>
      </c>
      <c r="X69" s="143"/>
      <c r="Y69" s="522">
        <f t="shared" si="206"/>
        <v>121.4574898785425</v>
      </c>
      <c r="Z69" s="143" t="s">
        <v>147</v>
      </c>
      <c r="AA69" s="143">
        <v>590</v>
      </c>
      <c r="AB69" s="144"/>
      <c r="AC69" s="31" t="s">
        <v>10</v>
      </c>
      <c r="AD69" s="493">
        <f t="shared" si="243"/>
        <v>24</v>
      </c>
      <c r="AE69" s="493">
        <f t="shared" si="207"/>
        <v>24</v>
      </c>
      <c r="AF69" s="42"/>
      <c r="AG69" s="31">
        <v>24</v>
      </c>
      <c r="AH69" s="42"/>
      <c r="AI69" s="42"/>
      <c r="AJ69" s="796">
        <v>1539.6699999999996</v>
      </c>
      <c r="AK69" s="276">
        <v>1796.56</v>
      </c>
      <c r="AL69" s="586">
        <f t="shared" si="244"/>
        <v>64.152916666666655</v>
      </c>
      <c r="AM69" s="8">
        <f t="shared" si="245"/>
        <v>74.856666666666669</v>
      </c>
      <c r="AN69" s="35">
        <v>6.31</v>
      </c>
      <c r="AO69" s="35">
        <v>5.41</v>
      </c>
      <c r="AP69" s="35">
        <v>404.62</v>
      </c>
      <c r="AQ69" s="53">
        <f>3/AG69</f>
        <v>0.125</v>
      </c>
      <c r="AR69" s="53">
        <f>9/AG69</f>
        <v>0.375</v>
      </c>
      <c r="AS69" s="53">
        <f>6/AG69</f>
        <v>0.25</v>
      </c>
      <c r="AT69" s="53">
        <f>3/AG69</f>
        <v>0.125</v>
      </c>
      <c r="AU69" s="53">
        <f>3/AG69</f>
        <v>0.125</v>
      </c>
      <c r="AV69" s="35"/>
      <c r="AW69" s="35" t="s">
        <v>133</v>
      </c>
      <c r="AX69" s="35"/>
      <c r="AY69" s="35">
        <v>4</v>
      </c>
      <c r="AZ69" s="34" t="s">
        <v>398</v>
      </c>
      <c r="BA69" s="31" t="s">
        <v>98</v>
      </c>
      <c r="BB69" s="31"/>
      <c r="BC69" s="31"/>
      <c r="BD69" s="31"/>
      <c r="BE69" s="31"/>
      <c r="BF69" s="164">
        <v>42761</v>
      </c>
      <c r="BG69" s="164"/>
      <c r="BH69" s="31"/>
      <c r="BI69" s="31"/>
      <c r="BJ69" s="660">
        <v>42824</v>
      </c>
      <c r="BK69" s="660">
        <v>42916</v>
      </c>
      <c r="BL69" s="661">
        <v>43010</v>
      </c>
      <c r="BM69" s="659">
        <f t="shared" si="246"/>
        <v>3.0666666666666669</v>
      </c>
      <c r="BN69" s="578" t="s">
        <v>235</v>
      </c>
      <c r="BO69" s="110">
        <v>43279</v>
      </c>
      <c r="BP69" s="138">
        <v>43356</v>
      </c>
      <c r="BQ69" s="654">
        <f t="shared" si="239"/>
        <v>2.5666666666666669</v>
      </c>
      <c r="BR69" s="638">
        <v>86771</v>
      </c>
      <c r="BS69" s="110">
        <v>43440</v>
      </c>
      <c r="BT69" s="110">
        <v>43385</v>
      </c>
      <c r="BU69" s="202">
        <v>43466</v>
      </c>
      <c r="BV69" s="201">
        <f t="shared" si="208"/>
        <v>44197</v>
      </c>
      <c r="BW69" s="439">
        <f>10589+49826</f>
        <v>60415</v>
      </c>
      <c r="BX69" s="201" t="str">
        <f>IF(EL69&gt;BV69,"oui","non")</f>
        <v>non</v>
      </c>
      <c r="BY69" s="439">
        <f>(BV69-EL69)/30</f>
        <v>6.6666666666666666E-2</v>
      </c>
      <c r="BZ69" s="439">
        <f>IF((BY69*EO69)&lt;0,"0",BY69*EO69)</f>
        <v>647.20000000000005</v>
      </c>
      <c r="CA69" s="439">
        <f>BW69-BZ69</f>
        <v>59767.8</v>
      </c>
      <c r="CB69" s="214">
        <v>42583</v>
      </c>
      <c r="CC69" s="81">
        <v>42598</v>
      </c>
      <c r="CD69" s="81">
        <v>42583</v>
      </c>
      <c r="CE69" s="326">
        <f t="shared" si="229"/>
        <v>-15</v>
      </c>
      <c r="CF69" s="81">
        <v>42692</v>
      </c>
      <c r="CG69" s="214">
        <v>42695</v>
      </c>
      <c r="CH69" s="326">
        <f t="shared" si="230"/>
        <v>3</v>
      </c>
      <c r="CI69" s="214">
        <v>42753</v>
      </c>
      <c r="CJ69" s="214">
        <v>42751</v>
      </c>
      <c r="CK69" s="326">
        <f t="shared" si="231"/>
        <v>-2</v>
      </c>
      <c r="CL69" s="81">
        <v>42829</v>
      </c>
      <c r="CM69" s="214">
        <v>43083</v>
      </c>
      <c r="CN69" s="326">
        <f t="shared" si="232"/>
        <v>254</v>
      </c>
      <c r="CO69" s="81">
        <v>42905</v>
      </c>
      <c r="CP69" s="81">
        <v>43189</v>
      </c>
      <c r="CQ69" s="326">
        <f t="shared" si="247"/>
        <v>284</v>
      </c>
      <c r="CR69" s="290"/>
      <c r="CS69" s="214">
        <v>43403</v>
      </c>
      <c r="CT69" s="214">
        <v>43154</v>
      </c>
      <c r="CU69" s="214">
        <v>43546</v>
      </c>
      <c r="CV69" s="448">
        <f>IF(AND(CT69&gt;0,CU69&gt;0),CU69-CT69,"0")</f>
        <v>392</v>
      </c>
      <c r="CW69" s="163">
        <v>43167</v>
      </c>
      <c r="CX69" s="282">
        <v>43585</v>
      </c>
      <c r="CY69" s="283">
        <v>2019</v>
      </c>
      <c r="CZ69" s="288">
        <f t="shared" si="240"/>
        <v>22.3</v>
      </c>
      <c r="DA69" s="448">
        <f t="shared" si="209"/>
        <v>418</v>
      </c>
      <c r="DB69" s="179">
        <v>16</v>
      </c>
      <c r="DC69" s="76">
        <f t="shared" si="210"/>
        <v>19</v>
      </c>
      <c r="DD69" s="214">
        <v>43631</v>
      </c>
      <c r="DE69" s="214">
        <f t="shared" ca="1" si="254"/>
        <v>43950</v>
      </c>
      <c r="DF69" s="448">
        <f t="shared" ca="1" si="233"/>
        <v>319</v>
      </c>
      <c r="DG69" s="214">
        <v>43710</v>
      </c>
      <c r="DH69" s="395">
        <v>43739</v>
      </c>
      <c r="DI69" s="396">
        <f t="shared" si="212"/>
        <v>29</v>
      </c>
      <c r="DJ69" s="335">
        <v>43889</v>
      </c>
      <c r="DK69" s="348">
        <f t="shared" ca="1" si="213"/>
        <v>43950</v>
      </c>
      <c r="DL69" s="332">
        <f t="shared" ca="1" si="214"/>
        <v>61</v>
      </c>
      <c r="DM69" s="335">
        <v>43902</v>
      </c>
      <c r="DN69" s="335">
        <f t="shared" ca="1" si="255"/>
        <v>43950</v>
      </c>
      <c r="DO69" s="332">
        <f t="shared" ca="1" si="216"/>
        <v>48</v>
      </c>
      <c r="DP69" s="424">
        <v>43885</v>
      </c>
      <c r="DQ69" s="335">
        <f ca="1">IF(DP69&lt;TODAY(),TODAY(),DP69)</f>
        <v>43950</v>
      </c>
      <c r="DR69" s="332">
        <f t="shared" ca="1" si="217"/>
        <v>65</v>
      </c>
      <c r="DS69" s="335">
        <v>43907</v>
      </c>
      <c r="DT69" s="335">
        <f t="shared" ca="1" si="218"/>
        <v>43950</v>
      </c>
      <c r="DU69" s="332">
        <f t="shared" ca="1" si="219"/>
        <v>43</v>
      </c>
      <c r="DV69" s="335">
        <v>44039</v>
      </c>
      <c r="DW69" s="335">
        <f t="shared" ca="1" si="256"/>
        <v>44039</v>
      </c>
      <c r="DX69" s="332">
        <f t="shared" ca="1" si="221"/>
        <v>0</v>
      </c>
      <c r="DY69" s="335"/>
      <c r="DZ69" s="335"/>
      <c r="EA69" s="335"/>
      <c r="EB69" s="477">
        <f t="shared" si="258"/>
        <v>44073</v>
      </c>
      <c r="EC69" s="476">
        <f>DATE(YEAR(EB69),MONTH(EB69)+3,DAY(EB69))</f>
        <v>44165</v>
      </c>
      <c r="ED69" s="473">
        <f t="shared" si="248"/>
        <v>3.0666666666666669</v>
      </c>
      <c r="EE69" s="849">
        <f t="shared" ca="1" si="228"/>
        <v>7.166666666666667</v>
      </c>
      <c r="EF69" s="476">
        <f t="shared" si="202"/>
        <v>44470</v>
      </c>
      <c r="EG69" s="535"/>
      <c r="EH69" s="215">
        <v>43788</v>
      </c>
      <c r="EI69" s="536"/>
      <c r="EJ69" s="295"/>
      <c r="EK69" s="534">
        <f t="shared" si="242"/>
        <v>44104</v>
      </c>
      <c r="EL69" s="476">
        <f t="shared" si="241"/>
        <v>44195</v>
      </c>
      <c r="EM69" s="368"/>
      <c r="EN69" s="471">
        <f>(DATEDIF(EK69,EL69,"d"))/30</f>
        <v>3.0333333333333332</v>
      </c>
      <c r="EO69" s="461">
        <v>9708</v>
      </c>
      <c r="EP69" s="173">
        <f t="shared" si="259"/>
        <v>29447.599999999999</v>
      </c>
      <c r="EQ69" s="833">
        <f>EO69*3</f>
        <v>29124</v>
      </c>
      <c r="ER69" s="353">
        <v>0</v>
      </c>
      <c r="ES69" s="353">
        <v>0</v>
      </c>
      <c r="ET69" s="353">
        <v>197331.09</v>
      </c>
      <c r="EU69" s="353">
        <v>181376</v>
      </c>
      <c r="EV69" s="353"/>
      <c r="EW69" s="483">
        <f t="shared" si="260"/>
        <v>0</v>
      </c>
      <c r="EX69" s="350"/>
      <c r="EY69" s="362"/>
      <c r="EZ69" s="362" t="s">
        <v>930</v>
      </c>
      <c r="FA69" s="350"/>
      <c r="FB69" s="126">
        <f t="shared" si="234"/>
        <v>44470</v>
      </c>
      <c r="FC69" s="80"/>
      <c r="FD69" s="80"/>
      <c r="FE69" s="80"/>
      <c r="FF69" s="80"/>
      <c r="FG69" s="80"/>
      <c r="FH69" s="31"/>
      <c r="FI69" s="194">
        <f t="shared" si="201"/>
        <v>44530</v>
      </c>
      <c r="FJ69" s="194"/>
      <c r="FK69" s="31"/>
      <c r="FL69" s="31"/>
      <c r="FM69" s="31"/>
      <c r="FN69" s="31"/>
      <c r="FO69" s="31"/>
      <c r="FP69" s="31"/>
      <c r="FQ69" s="31"/>
      <c r="FR69" s="31"/>
      <c r="FS69" s="31"/>
      <c r="FT69" s="31"/>
      <c r="FU69" s="31"/>
      <c r="FV69" s="31"/>
      <c r="FW69" s="31"/>
      <c r="FX69" s="529"/>
      <c r="FY69" s="652">
        <f t="shared" si="249"/>
        <v>4021476.4246152649</v>
      </c>
      <c r="FZ69" s="550">
        <f t="shared" si="146"/>
        <v>4021476.4246152649</v>
      </c>
      <c r="GA69" s="45">
        <f>FZ69</f>
        <v>4021476.4246152649</v>
      </c>
      <c r="GB69" s="610">
        <f>GM69+GN69+GR69+GQ69+GV69+GX69</f>
        <v>577062</v>
      </c>
      <c r="GC69" s="28">
        <f t="shared" si="250"/>
        <v>2238.4314604662604</v>
      </c>
      <c r="GD69" s="28">
        <f t="shared" si="261"/>
        <v>167561.5176923027</v>
      </c>
      <c r="GE69" s="45">
        <v>1237310.4246152646</v>
      </c>
      <c r="GF69" s="417">
        <v>1306948</v>
      </c>
      <c r="GG69" s="28">
        <f t="shared" si="252"/>
        <v>51554.601025636024</v>
      </c>
      <c r="GH69" s="45">
        <f>GI69+GJ69</f>
        <v>2207104</v>
      </c>
      <c r="GI69" s="59">
        <v>444360</v>
      </c>
      <c r="GJ69" s="59">
        <v>1762744</v>
      </c>
      <c r="GK69" s="407">
        <f t="shared" si="262"/>
        <v>91962.666666666672</v>
      </c>
      <c r="GL69" s="45"/>
      <c r="GM69" s="45">
        <v>480000</v>
      </c>
      <c r="GN69" s="45"/>
      <c r="GO69" s="23">
        <f t="shared" si="251"/>
        <v>0.11935914806361737</v>
      </c>
      <c r="GP69" s="45"/>
      <c r="GQ69" s="45"/>
      <c r="GR69" s="45">
        <v>97062</v>
      </c>
      <c r="GS69" s="28">
        <f t="shared" si="222"/>
        <v>20000</v>
      </c>
      <c r="GT69" s="28">
        <f t="shared" si="223"/>
        <v>71554.601025636031</v>
      </c>
      <c r="GU69" s="682"/>
      <c r="GV69" s="682"/>
      <c r="GW69" s="680">
        <f>(GE69+GM69+GV69)/AD69</f>
        <v>71554.601025636031</v>
      </c>
      <c r="GX69" s="682"/>
      <c r="GY69" s="680">
        <f t="shared" si="224"/>
        <v>71554.601025636031</v>
      </c>
      <c r="GZ69" s="681">
        <f>(GE69+GM69+GV69+GX69)/(GU69+FZ69-HA69)</f>
        <v>0.42703481092259787</v>
      </c>
      <c r="HA69" s="682"/>
      <c r="HB69" s="682"/>
      <c r="HC69" s="45">
        <f>ES69</f>
        <v>0</v>
      </c>
      <c r="HD69" s="610">
        <v>625425</v>
      </c>
      <c r="HE69" s="608">
        <f t="shared" si="225"/>
        <v>0.15552123995351644</v>
      </c>
      <c r="HF69" s="616">
        <f t="shared" si="226"/>
        <v>3396051.4246152649</v>
      </c>
      <c r="HG69" s="602">
        <f t="shared" ca="1" si="235"/>
        <v>3396051.4246152649</v>
      </c>
      <c r="HH69" s="608">
        <f ca="1">(HG69+HD69)/FZ69</f>
        <v>1</v>
      </c>
      <c r="HI69" s="602">
        <f>'[1]GLOBAL OPERATION'!$AG$53</f>
        <v>822763.41999999993</v>
      </c>
      <c r="HJ69" s="602">
        <f t="shared" si="257"/>
        <v>-245701.41999999993</v>
      </c>
      <c r="HK69" s="608">
        <f t="shared" si="253"/>
        <v>1.4257799335253403</v>
      </c>
      <c r="HL69" s="608"/>
      <c r="HM69" s="673"/>
      <c r="HN69" s="62"/>
      <c r="HO69" s="673"/>
      <c r="HP69" s="673">
        <f t="shared" si="236"/>
        <v>0</v>
      </c>
      <c r="HQ69" s="539"/>
      <c r="HR69" s="539"/>
      <c r="HS69" s="539"/>
      <c r="HT69" s="539"/>
      <c r="HU69" s="539"/>
      <c r="HV69" s="673"/>
      <c r="HW69" s="673">
        <f t="shared" si="199"/>
        <v>0</v>
      </c>
      <c r="HX69" s="539"/>
    </row>
    <row r="70" spans="1:232" ht="30" customHeight="1">
      <c r="A70" s="560" t="s">
        <v>515</v>
      </c>
      <c r="B70" s="31" t="s">
        <v>195</v>
      </c>
      <c r="C70" s="31" t="s">
        <v>92</v>
      </c>
      <c r="D70" s="31">
        <v>2017</v>
      </c>
      <c r="E70" s="31" t="s">
        <v>288</v>
      </c>
      <c r="F70" s="31" t="s">
        <v>709</v>
      </c>
      <c r="G70" s="31" t="s">
        <v>464</v>
      </c>
      <c r="H70" s="31" t="s">
        <v>138</v>
      </c>
      <c r="I70" s="31"/>
      <c r="J70" s="31" t="s">
        <v>611</v>
      </c>
      <c r="K70" s="180" t="s">
        <v>447</v>
      </c>
      <c r="L70" s="114"/>
      <c r="M70" s="115"/>
      <c r="N70" s="116"/>
      <c r="O70" s="142">
        <v>5443</v>
      </c>
      <c r="P70" s="142">
        <v>381010</v>
      </c>
      <c r="Q70" s="152">
        <v>381010</v>
      </c>
      <c r="R70" s="142">
        <f>P70/AD70</f>
        <v>18143.333333333332</v>
      </c>
      <c r="S70" s="148">
        <f>P70/O70</f>
        <v>70</v>
      </c>
      <c r="T70" s="152">
        <f>Q70/O70</f>
        <v>70</v>
      </c>
      <c r="U70" s="152">
        <f>Q70/AK70</f>
        <v>238.72208716573519</v>
      </c>
      <c r="V70" s="152">
        <f>Q70/AD70</f>
        <v>18143.333333333332</v>
      </c>
      <c r="W70" s="142">
        <f>O70/AD70</f>
        <v>259.1904761904762</v>
      </c>
      <c r="X70" s="143"/>
      <c r="Y70" s="522">
        <f t="shared" si="206"/>
        <v>38.58166452324086</v>
      </c>
      <c r="Z70" s="143" t="s">
        <v>152</v>
      </c>
      <c r="AA70" s="143">
        <v>900</v>
      </c>
      <c r="AB70" s="144"/>
      <c r="AC70" s="31" t="s">
        <v>10</v>
      </c>
      <c r="AD70" s="493">
        <f t="shared" si="243"/>
        <v>21</v>
      </c>
      <c r="AE70" s="493">
        <f t="shared" si="207"/>
        <v>21</v>
      </c>
      <c r="AF70" s="42"/>
      <c r="AG70" s="31">
        <v>21</v>
      </c>
      <c r="AH70" s="42"/>
      <c r="AI70" s="42"/>
      <c r="AJ70" s="796">
        <v>1596.04</v>
      </c>
      <c r="AK70" s="276">
        <v>1596.04</v>
      </c>
      <c r="AL70" s="586">
        <f t="shared" si="244"/>
        <v>76.001904761904754</v>
      </c>
      <c r="AM70" s="8">
        <f t="shared" si="245"/>
        <v>76.001904761904754</v>
      </c>
      <c r="AN70" s="35">
        <v>5.34</v>
      </c>
      <c r="AO70" s="35">
        <v>5.34</v>
      </c>
      <c r="AP70" s="35">
        <v>406.06</v>
      </c>
      <c r="AQ70" s="53"/>
      <c r="AR70" s="53"/>
      <c r="AS70" s="53"/>
      <c r="AT70" s="53"/>
      <c r="AU70" s="53"/>
      <c r="AV70" s="35"/>
      <c r="AW70" s="51"/>
      <c r="AX70" s="53"/>
      <c r="AY70" s="35"/>
      <c r="AZ70" s="31" t="s">
        <v>397</v>
      </c>
      <c r="BA70" s="31" t="s">
        <v>99</v>
      </c>
      <c r="BB70" s="31"/>
      <c r="BC70" s="31"/>
      <c r="BD70" s="31"/>
      <c r="BE70" s="31"/>
      <c r="BF70" s="164">
        <v>42761</v>
      </c>
      <c r="BG70" s="164"/>
      <c r="BH70" s="31"/>
      <c r="BI70" s="31"/>
      <c r="BJ70" s="660">
        <v>42824</v>
      </c>
      <c r="BK70" s="660">
        <v>43017</v>
      </c>
      <c r="BL70" s="661">
        <v>43045</v>
      </c>
      <c r="BM70" s="659">
        <f t="shared" si="246"/>
        <v>6.4333333333333336</v>
      </c>
      <c r="BN70" s="578" t="s">
        <v>235</v>
      </c>
      <c r="BO70" s="110">
        <v>43168</v>
      </c>
      <c r="BP70" s="138">
        <v>43249</v>
      </c>
      <c r="BQ70" s="654">
        <f t="shared" si="239"/>
        <v>2.7</v>
      </c>
      <c r="BR70" s="638">
        <v>78391</v>
      </c>
      <c r="BS70" s="110">
        <f>DATE(YEAR(BP70),MONTH(BP70)+3,DAY(BP70))</f>
        <v>43341</v>
      </c>
      <c r="BT70" s="110"/>
      <c r="BU70" s="202">
        <v>43344</v>
      </c>
      <c r="BV70" s="201">
        <f t="shared" si="208"/>
        <v>44075</v>
      </c>
      <c r="BW70" s="439">
        <f>13884+73092</f>
        <v>86976</v>
      </c>
      <c r="BX70" s="201" t="str">
        <f>IF(EL70&gt;BV70,"oui","non")</f>
        <v>oui</v>
      </c>
      <c r="BY70" s="557">
        <f>(BV70-EL70)/30</f>
        <v>-4.0666666666666664</v>
      </c>
      <c r="BZ70" s="439" t="str">
        <f>IF((BY70*EO70)&lt;0,"0",BY70*EO70)</f>
        <v>0</v>
      </c>
      <c r="CA70" s="439">
        <f>BW70-BZ70</f>
        <v>86976</v>
      </c>
      <c r="CB70" s="214"/>
      <c r="CC70" s="81"/>
      <c r="CD70" s="81"/>
      <c r="CE70" s="326" t="str">
        <f t="shared" si="229"/>
        <v>0</v>
      </c>
      <c r="CF70" s="81"/>
      <c r="CG70" s="81"/>
      <c r="CH70" s="326" t="str">
        <f t="shared" si="230"/>
        <v>0</v>
      </c>
      <c r="CI70" s="214"/>
      <c r="CJ70" s="214"/>
      <c r="CK70" s="326" t="str">
        <f t="shared" si="231"/>
        <v>0</v>
      </c>
      <c r="CL70" s="81"/>
      <c r="CM70" s="81"/>
      <c r="CN70" s="326" t="str">
        <f t="shared" si="232"/>
        <v>0</v>
      </c>
      <c r="CO70" s="81"/>
      <c r="CP70" s="81"/>
      <c r="CQ70" s="326" t="str">
        <f t="shared" si="247"/>
        <v>0</v>
      </c>
      <c r="CR70" s="290"/>
      <c r="CS70" s="214"/>
      <c r="CT70" s="163"/>
      <c r="CU70" s="132">
        <v>43545</v>
      </c>
      <c r="CV70" s="597"/>
      <c r="CW70" s="163"/>
      <c r="CX70" s="282">
        <v>43556</v>
      </c>
      <c r="CY70" s="283">
        <v>2019</v>
      </c>
      <c r="CZ70" s="527">
        <f t="shared" si="240"/>
        <v>17.966666666666665</v>
      </c>
      <c r="DA70" s="599" t="str">
        <f t="shared" si="209"/>
        <v>0</v>
      </c>
      <c r="DB70" s="179">
        <v>17</v>
      </c>
      <c r="DC70" s="76">
        <f t="shared" si="210"/>
        <v>21</v>
      </c>
      <c r="DD70" s="214">
        <v>43630</v>
      </c>
      <c r="DE70" s="214">
        <f t="shared" ca="1" si="254"/>
        <v>43950</v>
      </c>
      <c r="DF70" s="448">
        <f t="shared" ca="1" si="233"/>
        <v>320</v>
      </c>
      <c r="DG70" s="214">
        <v>43747</v>
      </c>
      <c r="DH70" s="395">
        <f ca="1">IF(DG70&lt;TODAY(),TODAY(),DG70)</f>
        <v>43950</v>
      </c>
      <c r="DI70" s="396">
        <f t="shared" ca="1" si="212"/>
        <v>203</v>
      </c>
      <c r="DJ70" s="335">
        <v>43860</v>
      </c>
      <c r="DK70" s="348">
        <f t="shared" ca="1" si="213"/>
        <v>43950</v>
      </c>
      <c r="DL70" s="332">
        <f t="shared" ca="1" si="214"/>
        <v>90</v>
      </c>
      <c r="DM70" s="335">
        <v>43950</v>
      </c>
      <c r="DN70" s="335">
        <f t="shared" ca="1" si="255"/>
        <v>43950</v>
      </c>
      <c r="DO70" s="332">
        <f t="shared" ca="1" si="216"/>
        <v>0</v>
      </c>
      <c r="DP70" s="424">
        <v>43950</v>
      </c>
      <c r="DQ70" s="335">
        <f ca="1">IF(DP70&lt;TODAY(),TODAY(),DP70)</f>
        <v>43950</v>
      </c>
      <c r="DR70" s="332">
        <f t="shared" ca="1" si="217"/>
        <v>0</v>
      </c>
      <c r="DS70" s="335">
        <v>43908</v>
      </c>
      <c r="DT70" s="335">
        <f t="shared" ca="1" si="218"/>
        <v>43950</v>
      </c>
      <c r="DU70" s="332">
        <f t="shared" ca="1" si="219"/>
        <v>42</v>
      </c>
      <c r="DV70" s="335">
        <v>44063</v>
      </c>
      <c r="DW70" s="335">
        <f t="shared" ca="1" si="256"/>
        <v>44063</v>
      </c>
      <c r="DX70" s="332">
        <f t="shared" ca="1" si="221"/>
        <v>0</v>
      </c>
      <c r="DY70" s="335"/>
      <c r="DZ70" s="335"/>
      <c r="EA70" s="335"/>
      <c r="EB70" s="477">
        <f t="shared" si="258"/>
        <v>44075</v>
      </c>
      <c r="EC70" s="476">
        <f>DATE(YEAR(EB70),MONTH(EB70)+4,DAY(EB70))</f>
        <v>44197</v>
      </c>
      <c r="ED70" s="473">
        <f t="shared" si="248"/>
        <v>4.0666666666666664</v>
      </c>
      <c r="EE70" s="849">
        <f t="shared" ca="1" si="228"/>
        <v>8.2333333333333325</v>
      </c>
      <c r="EF70" s="476">
        <f t="shared" ca="1" si="202"/>
        <v>44680</v>
      </c>
      <c r="EG70" s="535"/>
      <c r="EH70" s="75">
        <v>43788</v>
      </c>
      <c r="EI70" s="536"/>
      <c r="EJ70" s="295"/>
      <c r="EK70" s="534">
        <f t="shared" si="242"/>
        <v>44105</v>
      </c>
      <c r="EL70" s="476">
        <f>DATE(YEAR(EC70),MONTH(EC70),DAY(EC70))</f>
        <v>44197</v>
      </c>
      <c r="EM70" s="368"/>
      <c r="EN70" s="471">
        <f>(DATEDIF(EK70,EL70,"d"))/30</f>
        <v>3.0666666666666669</v>
      </c>
      <c r="EO70" s="461">
        <v>8523</v>
      </c>
      <c r="EP70" s="173">
        <f t="shared" si="259"/>
        <v>26137.200000000001</v>
      </c>
      <c r="EQ70" s="833">
        <f>EO70*3</f>
        <v>25569</v>
      </c>
      <c r="ER70" s="353">
        <v>200000</v>
      </c>
      <c r="ES70" s="353">
        <v>0</v>
      </c>
      <c r="ET70" s="353"/>
      <c r="EU70" s="353"/>
      <c r="EV70" s="353"/>
      <c r="EW70" s="483">
        <f t="shared" si="260"/>
        <v>0</v>
      </c>
      <c r="EX70" s="350"/>
      <c r="EY70" s="362"/>
      <c r="EZ70" s="362" t="s">
        <v>930</v>
      </c>
      <c r="FA70" s="362"/>
      <c r="FB70" s="126">
        <f t="shared" ca="1" si="234"/>
        <v>44680</v>
      </c>
      <c r="FC70" s="80"/>
      <c r="FD70" s="80"/>
      <c r="FE70" s="80"/>
      <c r="FF70" s="80"/>
      <c r="FG70" s="80"/>
      <c r="FH70" s="31"/>
      <c r="FI70" s="194">
        <f t="shared" si="201"/>
        <v>44562</v>
      </c>
      <c r="FJ70" s="194"/>
      <c r="FK70" s="31"/>
      <c r="FL70" s="31"/>
      <c r="FM70" s="31"/>
      <c r="FN70" s="31"/>
      <c r="FO70" s="31"/>
      <c r="FP70" s="31"/>
      <c r="FQ70" s="31"/>
      <c r="FR70" s="31"/>
      <c r="FS70" s="31"/>
      <c r="FT70" s="31"/>
      <c r="FU70" s="31"/>
      <c r="FV70" s="31"/>
      <c r="FW70" s="31"/>
      <c r="FX70" s="529"/>
      <c r="FY70" s="652">
        <f t="shared" si="249"/>
        <v>3951182.3902774607</v>
      </c>
      <c r="FZ70" s="550">
        <f t="shared" si="146"/>
        <v>3951182.3902774607</v>
      </c>
      <c r="GA70" s="45">
        <f>FZ70</f>
        <v>3951182.3902774607</v>
      </c>
      <c r="GB70" s="610">
        <f>GM70+GN70+GR70+GQ70+GV70+GX70</f>
        <v>721294.94</v>
      </c>
      <c r="GC70" s="28">
        <f t="shared" si="250"/>
        <v>2475.6161438795148</v>
      </c>
      <c r="GD70" s="28">
        <f t="shared" si="261"/>
        <v>188151.5423941648</v>
      </c>
      <c r="GE70" s="45">
        <v>1199988.4502774607</v>
      </c>
      <c r="GF70" s="417">
        <v>1158434</v>
      </c>
      <c r="GG70" s="28">
        <f t="shared" si="252"/>
        <v>57142.307156069561</v>
      </c>
      <c r="GH70" s="45">
        <f>GI70+GJ70</f>
        <v>2029899</v>
      </c>
      <c r="GI70" s="59">
        <v>598878</v>
      </c>
      <c r="GJ70" s="59">
        <v>1431021</v>
      </c>
      <c r="GK70" s="407">
        <f t="shared" si="262"/>
        <v>96661.857142857145</v>
      </c>
      <c r="GL70" s="45"/>
      <c r="GM70" s="45">
        <v>504000</v>
      </c>
      <c r="GN70" s="45"/>
      <c r="GO70" s="23">
        <f t="shared" si="251"/>
        <v>0.1275567539580495</v>
      </c>
      <c r="GP70" s="45"/>
      <c r="GQ70" s="45"/>
      <c r="GR70" s="45">
        <f>114303+102991.94</f>
        <v>217294.94</v>
      </c>
      <c r="GS70" s="28">
        <f t="shared" si="222"/>
        <v>24000</v>
      </c>
      <c r="GT70" s="28">
        <f t="shared" si="223"/>
        <v>81142.307156069553</v>
      </c>
      <c r="GU70" s="682"/>
      <c r="GV70" s="682"/>
      <c r="GW70" s="680">
        <f>(GE70+GM70+GV70)/AD70</f>
        <v>81142.307156069553</v>
      </c>
      <c r="GX70" s="682"/>
      <c r="GY70" s="680">
        <f t="shared" si="224"/>
        <v>81142.307156069553</v>
      </c>
      <c r="GZ70" s="681">
        <f>(GE70+GM70+GV70+GX70)/(GU70+FZ70-HA70)</f>
        <v>0.4312603878956352</v>
      </c>
      <c r="HA70" s="682"/>
      <c r="HB70" s="682"/>
      <c r="HC70" s="45">
        <f>ES70</f>
        <v>0</v>
      </c>
      <c r="HD70" s="610">
        <v>850065.93600999995</v>
      </c>
      <c r="HE70" s="608">
        <f t="shared" si="225"/>
        <v>0.21514216557092583</v>
      </c>
      <c r="HF70" s="616">
        <f t="shared" si="226"/>
        <v>3101116.4542674609</v>
      </c>
      <c r="HG70" s="602">
        <f t="shared" ca="1" si="235"/>
        <v>3013230.5628509745</v>
      </c>
      <c r="HH70" s="608">
        <f ca="1">(HG70+HD70)/FZ70</f>
        <v>0.97775706542103846</v>
      </c>
      <c r="HI70" s="602">
        <f>'[1]GLOBAL OPERATION'!$AG$73</f>
        <v>1735795.5699999998</v>
      </c>
      <c r="HJ70" s="602">
        <f t="shared" si="257"/>
        <v>-1014500.6299999999</v>
      </c>
      <c r="HK70" s="608">
        <f t="shared" si="253"/>
        <v>2.4064990252115175</v>
      </c>
      <c r="HL70" s="608"/>
      <c r="HM70" s="673"/>
      <c r="HN70" s="62"/>
      <c r="HO70" s="673"/>
      <c r="HP70" s="673">
        <f t="shared" si="236"/>
        <v>0</v>
      </c>
      <c r="HQ70" s="539"/>
      <c r="HR70" s="539"/>
      <c r="HS70" s="539"/>
      <c r="HT70" s="539"/>
      <c r="HU70" s="539"/>
      <c r="HV70" s="673"/>
      <c r="HW70" s="673">
        <f t="shared" si="199"/>
        <v>0</v>
      </c>
      <c r="HX70" s="539"/>
    </row>
    <row r="71" spans="1:232" ht="30" customHeight="1">
      <c r="A71" s="560" t="s">
        <v>402</v>
      </c>
      <c r="B71" s="31" t="s">
        <v>25</v>
      </c>
      <c r="C71" s="31" t="s">
        <v>92</v>
      </c>
      <c r="D71" s="31">
        <v>2018</v>
      </c>
      <c r="E71" s="31" t="s">
        <v>403</v>
      </c>
      <c r="F71" s="31" t="s">
        <v>903</v>
      </c>
      <c r="G71" s="31" t="s">
        <v>143</v>
      </c>
      <c r="H71" s="33" t="s">
        <v>138</v>
      </c>
      <c r="I71" s="31"/>
      <c r="J71" s="31"/>
      <c r="K71" s="180"/>
      <c r="L71" s="114"/>
      <c r="M71" s="115"/>
      <c r="N71" s="116"/>
      <c r="O71" s="142">
        <v>1627</v>
      </c>
      <c r="P71" s="142">
        <v>154050</v>
      </c>
      <c r="Q71" s="142">
        <v>154050</v>
      </c>
      <c r="R71" s="142" t="e">
        <f>P71/AI71</f>
        <v>#DIV/0!</v>
      </c>
      <c r="S71" s="142">
        <f>P71/O71</f>
        <v>94.683466502765825</v>
      </c>
      <c r="T71" s="148">
        <f>Q71/O71</f>
        <v>94.683466502765825</v>
      </c>
      <c r="U71" s="148">
        <f>Q71/AK71</f>
        <v>98.772477070102497</v>
      </c>
      <c r="V71" s="148">
        <f>Q71/AD71</f>
        <v>9061.7647058823532</v>
      </c>
      <c r="W71" s="142">
        <f>O71/AD71</f>
        <v>95.705882352941174</v>
      </c>
      <c r="X71" s="143"/>
      <c r="Y71" s="522">
        <f t="shared" si="206"/>
        <v>104.48678549477566</v>
      </c>
      <c r="Z71" s="143"/>
      <c r="AA71" s="143"/>
      <c r="AB71" s="144"/>
      <c r="AC71" s="31" t="s">
        <v>9</v>
      </c>
      <c r="AD71" s="493">
        <f t="shared" si="243"/>
        <v>17</v>
      </c>
      <c r="AE71" s="493">
        <f t="shared" si="207"/>
        <v>17</v>
      </c>
      <c r="AF71" s="31">
        <v>17</v>
      </c>
      <c r="AG71" s="42"/>
      <c r="AH71" s="42"/>
      <c r="AI71" s="7"/>
      <c r="AJ71" s="796">
        <v>1353.27</v>
      </c>
      <c r="AK71" s="276">
        <v>1559.645</v>
      </c>
      <c r="AL71" s="586">
        <f t="shared" si="244"/>
        <v>79.604117647058828</v>
      </c>
      <c r="AM71" s="8">
        <f t="shared" si="245"/>
        <v>91.74382352941177</v>
      </c>
      <c r="AN71" s="35">
        <v>7.36</v>
      </c>
      <c r="AO71" s="35">
        <v>6.39</v>
      </c>
      <c r="AP71" s="35">
        <v>586.03</v>
      </c>
      <c r="AQ71" s="53"/>
      <c r="AR71" s="53">
        <f>4/AD71</f>
        <v>0.23529411764705882</v>
      </c>
      <c r="AS71" s="53">
        <f>6/AD71</f>
        <v>0.35294117647058826</v>
      </c>
      <c r="AT71" s="53">
        <f>5/AD71</f>
        <v>0.29411764705882354</v>
      </c>
      <c r="AU71" s="53">
        <f>2/AD71</f>
        <v>0.11764705882352941</v>
      </c>
      <c r="AV71" s="35"/>
      <c r="AW71" s="51"/>
      <c r="AX71" s="53"/>
      <c r="AY71" s="35"/>
      <c r="AZ71" s="31" t="s">
        <v>398</v>
      </c>
      <c r="BA71" s="31" t="s">
        <v>98</v>
      </c>
      <c r="BB71" s="31"/>
      <c r="BC71" s="31"/>
      <c r="BD71" s="31"/>
      <c r="BE71" s="31"/>
      <c r="BF71" s="165">
        <v>42978</v>
      </c>
      <c r="BG71" s="165"/>
      <c r="BH71" s="73">
        <v>43308</v>
      </c>
      <c r="BI71" s="73">
        <v>43308</v>
      </c>
      <c r="BJ71" s="660">
        <v>43189</v>
      </c>
      <c r="BK71" s="660">
        <v>43334</v>
      </c>
      <c r="BL71" s="661"/>
      <c r="BM71" s="659">
        <f t="shared" si="246"/>
        <v>4.833333333333333</v>
      </c>
      <c r="BN71" s="578" t="s">
        <v>235</v>
      </c>
      <c r="BO71" s="110">
        <v>43347</v>
      </c>
      <c r="BP71" s="139">
        <v>43487</v>
      </c>
      <c r="BQ71" s="654">
        <f t="shared" si="239"/>
        <v>4.666666666666667</v>
      </c>
      <c r="BR71" s="638"/>
      <c r="BS71" s="452">
        <f>DATE(YEAR(BP71),MONTH(BP71)+3,DAY(BP71))</f>
        <v>43577</v>
      </c>
      <c r="BT71" s="110"/>
      <c r="BU71" s="202">
        <v>43586</v>
      </c>
      <c r="BV71" s="201">
        <f t="shared" si="208"/>
        <v>44317</v>
      </c>
      <c r="BW71" s="439">
        <f>83410.57+7587.49</f>
        <v>90998.060000000012</v>
      </c>
      <c r="BX71" s="201" t="str">
        <f>IF(EL71&gt;BV71,"oui","non")</f>
        <v>non</v>
      </c>
      <c r="BY71" s="557">
        <f>(BV71-EL71)/30</f>
        <v>0.76666666666666672</v>
      </c>
      <c r="BZ71" s="439">
        <f>IF((BY71*EO71)&lt;0,"0",BY71*EO71)</f>
        <v>7640.6</v>
      </c>
      <c r="CA71" s="439">
        <f>BW71-BZ71</f>
        <v>83357.460000000006</v>
      </c>
      <c r="CB71" s="214"/>
      <c r="CC71" s="81"/>
      <c r="CD71" s="81"/>
      <c r="CE71" s="343" t="str">
        <f t="shared" si="229"/>
        <v>0</v>
      </c>
      <c r="CF71" s="81"/>
      <c r="CG71" s="81"/>
      <c r="CH71" s="326" t="str">
        <f t="shared" si="230"/>
        <v>0</v>
      </c>
      <c r="CI71" s="81"/>
      <c r="CJ71" s="81"/>
      <c r="CK71" s="326" t="str">
        <f t="shared" si="231"/>
        <v>0</v>
      </c>
      <c r="CL71" s="81"/>
      <c r="CM71" s="81"/>
      <c r="CN71" s="326" t="str">
        <f t="shared" si="232"/>
        <v>0</v>
      </c>
      <c r="CO71" s="81"/>
      <c r="CP71" s="81"/>
      <c r="CQ71" s="326" t="str">
        <f t="shared" si="247"/>
        <v>0</v>
      </c>
      <c r="CR71" s="290"/>
      <c r="CS71" s="339"/>
      <c r="CT71" s="330"/>
      <c r="CU71" s="335"/>
      <c r="CV71" s="332" t="str">
        <f t="shared" ref="CV71:CV92" si="263">IF(AND(CT71&gt;0,CU71&gt;0),CU71-CT71,"0")</f>
        <v>0</v>
      </c>
      <c r="CW71" s="330"/>
      <c r="CX71" s="282">
        <v>43738</v>
      </c>
      <c r="CY71" s="283">
        <v>2019</v>
      </c>
      <c r="CZ71" s="284">
        <f t="shared" si="240"/>
        <v>13.466666666666667</v>
      </c>
      <c r="DA71" s="332" t="str">
        <f t="shared" si="209"/>
        <v>0</v>
      </c>
      <c r="DB71" s="450">
        <v>14</v>
      </c>
      <c r="DC71" s="169">
        <f t="shared" si="210"/>
        <v>18</v>
      </c>
      <c r="DD71" s="330">
        <v>43732</v>
      </c>
      <c r="DE71" s="335">
        <f t="shared" ca="1" si="254"/>
        <v>43950</v>
      </c>
      <c r="DF71" s="332">
        <f t="shared" ca="1" si="233"/>
        <v>218</v>
      </c>
      <c r="DG71" s="330">
        <f>DATE(YEAR(DD71),MONTH(DD71)+2,DAY(DD71))</f>
        <v>43793</v>
      </c>
      <c r="DH71" s="348">
        <f ca="1">IF(DG71&lt;TODAY(),TODAY(),DG71)</f>
        <v>43950</v>
      </c>
      <c r="DI71" s="333">
        <f t="shared" ca="1" si="212"/>
        <v>157</v>
      </c>
      <c r="DJ71" s="334"/>
      <c r="DK71" s="348">
        <f t="shared" ca="1" si="213"/>
        <v>43950</v>
      </c>
      <c r="DL71" s="332" t="str">
        <f t="shared" ca="1" si="214"/>
        <v>0</v>
      </c>
      <c r="DM71" s="335">
        <v>43512</v>
      </c>
      <c r="DN71" s="335">
        <f t="shared" ca="1" si="255"/>
        <v>43950</v>
      </c>
      <c r="DO71" s="332">
        <f t="shared" ca="1" si="216"/>
        <v>438</v>
      </c>
      <c r="DP71" s="336"/>
      <c r="DQ71" s="336"/>
      <c r="DR71" s="332" t="str">
        <f t="shared" si="217"/>
        <v>0</v>
      </c>
      <c r="DS71" s="335"/>
      <c r="DT71" s="335">
        <f t="shared" ca="1" si="218"/>
        <v>43950</v>
      </c>
      <c r="DU71" s="332" t="str">
        <f t="shared" ca="1" si="219"/>
        <v>0</v>
      </c>
      <c r="DV71" s="335">
        <v>43589</v>
      </c>
      <c r="DW71" s="335">
        <f t="shared" ca="1" si="256"/>
        <v>43950</v>
      </c>
      <c r="DX71" s="332">
        <f t="shared" ca="1" si="221"/>
        <v>361</v>
      </c>
      <c r="DY71" s="335"/>
      <c r="DZ71" s="335"/>
      <c r="EA71" s="335"/>
      <c r="EB71" s="477">
        <f t="shared" si="258"/>
        <v>44165</v>
      </c>
      <c r="EC71" s="476">
        <v>44294</v>
      </c>
      <c r="ED71" s="473">
        <f t="shared" si="248"/>
        <v>4.3</v>
      </c>
      <c r="EE71" s="605">
        <f t="shared" ca="1" si="228"/>
        <v>11.466666666666667</v>
      </c>
      <c r="EF71" s="476">
        <f t="shared" ca="1" si="202"/>
        <v>44680</v>
      </c>
      <c r="EG71" s="535"/>
      <c r="EH71" s="75">
        <v>43726</v>
      </c>
      <c r="EI71" s="536"/>
      <c r="EJ71" s="295"/>
      <c r="EK71" s="476">
        <f t="shared" si="242"/>
        <v>44195</v>
      </c>
      <c r="EL71" s="476">
        <f>DATE(YEAR(EC71),MONTH(EC71),DAY(EC71))</f>
        <v>44294</v>
      </c>
      <c r="EM71" s="368"/>
      <c r="EN71" s="471">
        <f>(DATEDIF(EK71,EL71,"d"))/30</f>
        <v>3.3</v>
      </c>
      <c r="EO71" s="461">
        <v>9966</v>
      </c>
      <c r="EP71" s="173">
        <f t="shared" si="259"/>
        <v>32887.799999999996</v>
      </c>
      <c r="EQ71" s="834">
        <f>EO71*3</f>
        <v>29898</v>
      </c>
      <c r="ER71" s="353">
        <v>0</v>
      </c>
      <c r="ES71" s="353">
        <v>0</v>
      </c>
      <c r="ET71" s="353">
        <v>83574</v>
      </c>
      <c r="EU71" s="353"/>
      <c r="EV71" s="353"/>
      <c r="EW71" s="483">
        <f t="shared" si="260"/>
        <v>0</v>
      </c>
      <c r="EX71" s="350"/>
      <c r="EY71" s="362"/>
      <c r="EZ71" s="350" t="s">
        <v>930</v>
      </c>
      <c r="FA71" s="362" t="s">
        <v>807</v>
      </c>
      <c r="FB71" s="126">
        <f t="shared" ca="1" si="234"/>
        <v>44680</v>
      </c>
      <c r="FC71" s="80"/>
      <c r="FD71" s="80"/>
      <c r="FE71" s="80"/>
      <c r="FF71" s="80"/>
      <c r="FG71" s="80"/>
      <c r="FH71" s="31"/>
      <c r="FI71" s="194">
        <f t="shared" si="201"/>
        <v>44659</v>
      </c>
      <c r="FJ71" s="194"/>
      <c r="FK71" s="31"/>
      <c r="FL71" s="31"/>
      <c r="FM71" s="31"/>
      <c r="FN71" s="31"/>
      <c r="FO71" s="31"/>
      <c r="FP71" s="31"/>
      <c r="FQ71" s="31"/>
      <c r="FR71" s="31"/>
      <c r="FS71" s="31"/>
      <c r="FT71" s="31"/>
      <c r="FU71" s="31"/>
      <c r="FV71" s="31"/>
      <c r="FW71" s="31"/>
      <c r="FX71" s="529"/>
      <c r="FY71" s="652">
        <f t="shared" si="249"/>
        <v>3288296.2073351205</v>
      </c>
      <c r="FZ71" s="550">
        <f>GH71+GM71+HC71+GL71+GR71+GP71+GQ71+GE71</f>
        <v>3288296.2073351205</v>
      </c>
      <c r="GA71" s="45">
        <f>FZ71</f>
        <v>3288296.2073351205</v>
      </c>
      <c r="GB71" s="610">
        <f>GM71+GN71+GR71+GQ71+GV71+GX71</f>
        <v>327200</v>
      </c>
      <c r="GC71" s="28">
        <f t="shared" si="250"/>
        <v>2108.3619716891476</v>
      </c>
      <c r="GD71" s="28">
        <f t="shared" si="261"/>
        <v>193429.18866677181</v>
      </c>
      <c r="GE71" s="623">
        <v>1044500.2073351206</v>
      </c>
      <c r="GF71" s="417">
        <v>958221</v>
      </c>
      <c r="GG71" s="28">
        <f t="shared" si="252"/>
        <v>61441.188666771806</v>
      </c>
      <c r="GH71" s="623">
        <f>GI71+GJ71</f>
        <v>1806096</v>
      </c>
      <c r="GI71" s="624">
        <v>267301</v>
      </c>
      <c r="GJ71" s="624">
        <v>1538795</v>
      </c>
      <c r="GK71" s="407">
        <f t="shared" si="262"/>
        <v>106240.94117647059</v>
      </c>
      <c r="GL71" s="623"/>
      <c r="GM71" s="45">
        <v>323000</v>
      </c>
      <c r="GN71" s="45"/>
      <c r="GO71" s="23">
        <f t="shared" si="251"/>
        <v>9.8227160703920749E-2</v>
      </c>
      <c r="GP71" s="45">
        <v>110500</v>
      </c>
      <c r="GQ71" s="45"/>
      <c r="GR71" s="45">
        <v>4200</v>
      </c>
      <c r="GS71" s="28">
        <f t="shared" si="222"/>
        <v>19000</v>
      </c>
      <c r="GT71" s="28">
        <f t="shared" si="223"/>
        <v>80441.188666771792</v>
      </c>
      <c r="GU71" s="682"/>
      <c r="GV71" s="682"/>
      <c r="GW71" s="680">
        <f>(GE71+GM71+GV71)/AD71</f>
        <v>80441.188666771792</v>
      </c>
      <c r="GX71" s="682"/>
      <c r="GY71" s="680">
        <f t="shared" si="224"/>
        <v>80441.188666771792</v>
      </c>
      <c r="GZ71" s="681">
        <f>(GE71+GM71+GV71+GX71)/(GU71+FZ71-HA71)</f>
        <v>0.41586892454660013</v>
      </c>
      <c r="HA71" s="682"/>
      <c r="HB71" s="682"/>
      <c r="HC71" s="45">
        <v>0</v>
      </c>
      <c r="HD71" s="610">
        <f>(28908.49+370280)*1.021</f>
        <v>407571.44828999997</v>
      </c>
      <c r="HE71" s="608">
        <f t="shared" si="225"/>
        <v>0.12394608715019056</v>
      </c>
      <c r="HF71" s="602">
        <f t="shared" si="226"/>
        <v>2880724.7590451203</v>
      </c>
      <c r="HG71" s="602">
        <f ca="1">IF(EE71&lt;DATEDIF(TODAY(),$HG$1,"M"),HF71,(HF71/EE71*DATEDIF(TODAY(),$HG$1,"M")))*0+400000</f>
        <v>400000</v>
      </c>
      <c r="HH71" s="608">
        <f ca="1">(HG71+HD71)/FZ71</f>
        <v>0.2455896298175847</v>
      </c>
      <c r="HI71" s="602">
        <f>'[1]GLOBAL OPERATION'!$AG$78</f>
        <v>0</v>
      </c>
      <c r="HJ71" s="602">
        <f t="shared" si="257"/>
        <v>327200</v>
      </c>
      <c r="HK71" s="608">
        <f t="shared" si="253"/>
        <v>0</v>
      </c>
      <c r="HL71" s="608" t="s">
        <v>779</v>
      </c>
      <c r="HM71" s="673"/>
      <c r="HN71" s="62"/>
      <c r="HO71" s="673"/>
      <c r="HP71" s="673">
        <f t="shared" si="236"/>
        <v>0</v>
      </c>
      <c r="HQ71" s="539"/>
      <c r="HR71" s="539"/>
      <c r="HS71" s="539"/>
      <c r="HT71" s="539"/>
      <c r="HU71" s="539"/>
      <c r="HV71" s="673"/>
      <c r="HW71" s="673">
        <f t="shared" si="199"/>
        <v>0</v>
      </c>
      <c r="HX71" s="539"/>
    </row>
    <row r="72" spans="1:232" ht="78" customHeight="1">
      <c r="A72" s="510" t="s">
        <v>321</v>
      </c>
      <c r="B72" s="31" t="s">
        <v>14</v>
      </c>
      <c r="C72" s="31" t="s">
        <v>90</v>
      </c>
      <c r="D72" s="31">
        <v>2018</v>
      </c>
      <c r="E72" s="31"/>
      <c r="F72" s="31" t="s">
        <v>309</v>
      </c>
      <c r="G72" s="31" t="s">
        <v>142</v>
      </c>
      <c r="H72" s="31" t="s">
        <v>140</v>
      </c>
      <c r="I72" s="31"/>
      <c r="J72" s="31" t="s">
        <v>322</v>
      </c>
      <c r="K72" s="180" t="s">
        <v>361</v>
      </c>
      <c r="L72" s="114" t="s">
        <v>44</v>
      </c>
      <c r="M72" s="115" t="s">
        <v>360</v>
      </c>
      <c r="N72" s="116">
        <v>33994</v>
      </c>
      <c r="O72" s="159"/>
      <c r="P72" s="159"/>
      <c r="Q72" s="159"/>
      <c r="R72" s="159"/>
      <c r="S72" s="159"/>
      <c r="T72" s="386"/>
      <c r="U72" s="386"/>
      <c r="V72" s="386"/>
      <c r="W72" s="159"/>
      <c r="X72" s="143"/>
      <c r="Y72" s="525" t="e">
        <f t="shared" si="206"/>
        <v>#DIV/0!</v>
      </c>
      <c r="Z72" s="143"/>
      <c r="AA72" s="143"/>
      <c r="AB72" s="144"/>
      <c r="AC72" s="31" t="s">
        <v>308</v>
      </c>
      <c r="AD72" s="493">
        <f t="shared" si="243"/>
        <v>30</v>
      </c>
      <c r="AE72" s="493">
        <f t="shared" si="207"/>
        <v>0</v>
      </c>
      <c r="AF72" s="42"/>
      <c r="AG72" s="42"/>
      <c r="AH72" s="42"/>
      <c r="AI72" s="216">
        <v>30</v>
      </c>
      <c r="AJ72" s="796"/>
      <c r="AK72" s="276"/>
      <c r="AL72" s="586">
        <f t="shared" si="244"/>
        <v>0</v>
      </c>
      <c r="AM72" s="8">
        <f t="shared" si="245"/>
        <v>0</v>
      </c>
      <c r="AN72" s="35"/>
      <c r="AO72" s="35"/>
      <c r="AP72" s="35"/>
      <c r="AQ72" s="53"/>
      <c r="AR72" s="53"/>
      <c r="AS72" s="53"/>
      <c r="AT72" s="53"/>
      <c r="AU72" s="53"/>
      <c r="AV72" s="35"/>
      <c r="AW72" s="51"/>
      <c r="AX72" s="53"/>
      <c r="AY72" s="35"/>
      <c r="AZ72" s="31"/>
      <c r="BA72" s="31"/>
      <c r="BB72" s="31"/>
      <c r="BC72" s="31"/>
      <c r="BD72" s="31"/>
      <c r="BE72" s="31"/>
      <c r="BF72" s="31"/>
      <c r="BG72" s="31"/>
      <c r="BH72" s="73">
        <v>43308</v>
      </c>
      <c r="BI72" s="73">
        <v>43308</v>
      </c>
      <c r="BJ72" s="660">
        <v>43189</v>
      </c>
      <c r="BK72" s="660">
        <v>43335</v>
      </c>
      <c r="BL72" s="661">
        <v>43502</v>
      </c>
      <c r="BM72" s="659">
        <f t="shared" si="246"/>
        <v>4.8666666666666663</v>
      </c>
      <c r="BN72" s="578" t="s">
        <v>235</v>
      </c>
      <c r="BO72" s="110">
        <v>43396</v>
      </c>
      <c r="BP72" s="139">
        <v>43487</v>
      </c>
      <c r="BQ72" s="654">
        <f t="shared" si="239"/>
        <v>3.0333333333333332</v>
      </c>
      <c r="BR72" s="638">
        <v>91965</v>
      </c>
      <c r="BS72" s="452">
        <f>DATE(YEAR(BP72),MONTH(BP72)+3,DAY(BP72))</f>
        <v>43577</v>
      </c>
      <c r="BT72" s="110">
        <v>43501</v>
      </c>
      <c r="BU72" s="202">
        <v>43586</v>
      </c>
      <c r="BV72" s="201">
        <f t="shared" si="208"/>
        <v>44317</v>
      </c>
      <c r="BW72" s="439">
        <v>31121.89</v>
      </c>
      <c r="BX72" s="555"/>
      <c r="BY72" s="556"/>
      <c r="BZ72" s="556"/>
      <c r="CA72" s="556"/>
      <c r="CB72" s="339"/>
      <c r="CC72" s="341"/>
      <c r="CD72" s="341"/>
      <c r="CE72" s="343" t="str">
        <f t="shared" si="229"/>
        <v>0</v>
      </c>
      <c r="CF72" s="341">
        <v>42969</v>
      </c>
      <c r="CG72" s="341">
        <f ca="1">IF(CF72&lt;TODAY(),TODAY(),CF72)</f>
        <v>43950</v>
      </c>
      <c r="CH72" s="326">
        <f t="shared" ca="1" si="230"/>
        <v>981</v>
      </c>
      <c r="CI72" s="341">
        <v>42948</v>
      </c>
      <c r="CJ72" s="341">
        <f ca="1">IF(CI72&lt;TODAY(),TODAY(),CI72)</f>
        <v>43950</v>
      </c>
      <c r="CK72" s="326">
        <f t="shared" ca="1" si="231"/>
        <v>1002</v>
      </c>
      <c r="CL72" s="341">
        <v>43028</v>
      </c>
      <c r="CM72" s="341">
        <f ca="1">IF(CL72&lt;TODAY(),TODAY(),CL72)</f>
        <v>43950</v>
      </c>
      <c r="CN72" s="326">
        <f t="shared" ca="1" si="232"/>
        <v>922</v>
      </c>
      <c r="CO72" s="341">
        <v>43089</v>
      </c>
      <c r="CP72" s="341">
        <f ca="1">IF(CO72&lt;TODAY(),TODAY(),CO72)</f>
        <v>43950</v>
      </c>
      <c r="CQ72" s="326">
        <f t="shared" ca="1" si="247"/>
        <v>861</v>
      </c>
      <c r="CR72" s="290"/>
      <c r="CS72" s="339">
        <v>43403</v>
      </c>
      <c r="CT72" s="330">
        <v>43532</v>
      </c>
      <c r="CU72" s="335">
        <f ca="1">IF(CT72&lt;TODAY(),TODAY(),CT72)</f>
        <v>43950</v>
      </c>
      <c r="CV72" s="332">
        <f t="shared" ca="1" si="263"/>
        <v>418</v>
      </c>
      <c r="CW72" s="214">
        <v>43549</v>
      </c>
      <c r="CX72" s="282">
        <v>43873</v>
      </c>
      <c r="CY72" s="283">
        <v>2020</v>
      </c>
      <c r="CZ72" s="288">
        <f t="shared" si="240"/>
        <v>17.933333333333334</v>
      </c>
      <c r="DA72" s="448">
        <f t="shared" si="209"/>
        <v>324</v>
      </c>
      <c r="DB72" s="179">
        <v>10</v>
      </c>
      <c r="DC72" s="76">
        <f t="shared" si="210"/>
        <v>13</v>
      </c>
      <c r="DD72" s="330"/>
      <c r="DE72" s="335">
        <f t="shared" ca="1" si="254"/>
        <v>43950</v>
      </c>
      <c r="DF72" s="332" t="str">
        <f t="shared" ca="1" si="233"/>
        <v>0</v>
      </c>
      <c r="DG72" s="330"/>
      <c r="DH72" s="348">
        <f ca="1">IF(DG72&lt;TODAY(),TODAY(),DG72)</f>
        <v>43950</v>
      </c>
      <c r="DI72" s="333" t="str">
        <f t="shared" ca="1" si="212"/>
        <v>0</v>
      </c>
      <c r="DJ72" s="334"/>
      <c r="DK72" s="348">
        <f t="shared" ca="1" si="213"/>
        <v>43950</v>
      </c>
      <c r="DL72" s="332" t="str">
        <f t="shared" ca="1" si="214"/>
        <v>0</v>
      </c>
      <c r="DM72" s="335">
        <v>43509</v>
      </c>
      <c r="DN72" s="335">
        <f t="shared" ca="1" si="255"/>
        <v>43950</v>
      </c>
      <c r="DO72" s="332">
        <f t="shared" ca="1" si="216"/>
        <v>441</v>
      </c>
      <c r="DP72" s="336"/>
      <c r="DQ72" s="336"/>
      <c r="DR72" s="332" t="str">
        <f t="shared" si="217"/>
        <v>0</v>
      </c>
      <c r="DS72" s="335"/>
      <c r="DT72" s="335">
        <f t="shared" ca="1" si="218"/>
        <v>43950</v>
      </c>
      <c r="DU72" s="332" t="str">
        <f t="shared" ca="1" si="219"/>
        <v>0</v>
      </c>
      <c r="DV72" s="335">
        <v>43586</v>
      </c>
      <c r="DW72" s="335">
        <f t="shared" ca="1" si="256"/>
        <v>43950</v>
      </c>
      <c r="DX72" s="332">
        <f t="shared" ca="1" si="221"/>
        <v>364</v>
      </c>
      <c r="DY72" s="336"/>
      <c r="DZ72" s="336"/>
      <c r="EA72" s="336"/>
      <c r="EB72" s="477">
        <f t="shared" si="258"/>
        <v>44177</v>
      </c>
      <c r="EC72" s="476">
        <v>44270</v>
      </c>
      <c r="ED72" s="473">
        <f t="shared" si="248"/>
        <v>3.1</v>
      </c>
      <c r="EE72" s="605">
        <f t="shared" ca="1" si="228"/>
        <v>10.666666666666666</v>
      </c>
      <c r="EF72" s="850">
        <f t="shared" ca="1" si="202"/>
        <v>44680</v>
      </c>
      <c r="EG72" s="535"/>
      <c r="EH72" s="526"/>
      <c r="EI72" s="536"/>
      <c r="EJ72" s="295"/>
      <c r="EK72" s="534">
        <f t="shared" si="242"/>
        <v>44208</v>
      </c>
      <c r="EL72" s="476">
        <f>DATE(YEAR(EC72),MONTH(EC72)+1,DAY(EC72))</f>
        <v>44301</v>
      </c>
      <c r="EM72" s="368"/>
      <c r="EN72" s="471">
        <f>(EL72-EK72)/30</f>
        <v>3.1</v>
      </c>
      <c r="EO72" s="461"/>
      <c r="EP72" s="173">
        <f t="shared" si="259"/>
        <v>0</v>
      </c>
      <c r="EQ72" s="77"/>
      <c r="ER72" s="353">
        <v>0</v>
      </c>
      <c r="ES72" s="353">
        <v>0</v>
      </c>
      <c r="ET72" s="353">
        <v>200012</v>
      </c>
      <c r="EU72" s="353"/>
      <c r="EV72" s="353"/>
      <c r="EW72" s="483">
        <f t="shared" si="260"/>
        <v>0</v>
      </c>
      <c r="EX72" s="350"/>
      <c r="EY72" s="362"/>
      <c r="EZ72" s="350" t="s">
        <v>930</v>
      </c>
      <c r="FA72" s="362" t="s">
        <v>807</v>
      </c>
      <c r="FB72" s="126">
        <f t="shared" ca="1" si="234"/>
        <v>44680</v>
      </c>
      <c r="FC72" s="80"/>
      <c r="FD72" s="80"/>
      <c r="FE72" s="80"/>
      <c r="FF72" s="80"/>
      <c r="FG72" s="80"/>
      <c r="FH72" s="31"/>
      <c r="FI72" s="194">
        <f t="shared" si="201"/>
        <v>44635</v>
      </c>
      <c r="FJ72" s="194"/>
      <c r="FK72" s="31"/>
      <c r="FL72" s="31"/>
      <c r="FM72" s="31"/>
      <c r="FN72" s="31"/>
      <c r="FO72" s="31"/>
      <c r="FP72" s="31"/>
      <c r="FQ72" s="31"/>
      <c r="FR72" s="31"/>
      <c r="FS72" s="31"/>
      <c r="FT72" s="31"/>
      <c r="FU72" s="31"/>
      <c r="FV72" s="31"/>
      <c r="FW72" s="31"/>
      <c r="FX72" s="529"/>
      <c r="FY72" s="652">
        <f t="shared" si="249"/>
        <v>1019489.68</v>
      </c>
      <c r="FZ72" s="550">
        <f t="shared" ref="FZ72:FZ103" si="264">GE72+GH72+GM72+HC72+GL72+GR72+GP72+GQ72</f>
        <v>1019489.68</v>
      </c>
      <c r="GA72" s="45"/>
      <c r="GB72" s="602">
        <f>GM72+GN72+GR72</f>
        <v>151920</v>
      </c>
      <c r="GC72" s="28" t="e">
        <f t="shared" si="250"/>
        <v>#DIV/0!</v>
      </c>
      <c r="GD72" s="28">
        <f t="shared" si="261"/>
        <v>33982.989333333338</v>
      </c>
      <c r="GE72" s="49"/>
      <c r="GF72" s="417"/>
      <c r="GG72" s="28">
        <f t="shared" si="252"/>
        <v>0</v>
      </c>
      <c r="GH72" s="49">
        <v>617569.68000000005</v>
      </c>
      <c r="GI72" s="267"/>
      <c r="GJ72" s="267"/>
      <c r="GK72" s="407">
        <f t="shared" si="262"/>
        <v>20585.656000000003</v>
      </c>
      <c r="GL72" s="623"/>
      <c r="GM72" s="45">
        <v>150000</v>
      </c>
      <c r="GN72" s="45"/>
      <c r="GO72" s="23">
        <f t="shared" si="251"/>
        <v>0.14713243590656061</v>
      </c>
      <c r="GP72" s="45">
        <v>250000</v>
      </c>
      <c r="GQ72" s="45"/>
      <c r="GR72" s="45">
        <v>1920</v>
      </c>
      <c r="GS72" s="28">
        <f t="shared" si="222"/>
        <v>5000</v>
      </c>
      <c r="GT72" s="28">
        <f t="shared" si="223"/>
        <v>5000</v>
      </c>
      <c r="GU72" s="682"/>
      <c r="GV72" s="682"/>
      <c r="GW72" s="680" t="e">
        <f>(#REF!+#REF!+GV72)/AD72</f>
        <v>#REF!</v>
      </c>
      <c r="GX72" s="682"/>
      <c r="GY72" s="682">
        <f t="shared" si="224"/>
        <v>5000</v>
      </c>
      <c r="GZ72" s="681" t="e">
        <f>(#REF!+#REF!+GV72+GX72)/(GU72+#REF!-HA72)</f>
        <v>#REF!</v>
      </c>
      <c r="HA72" s="682"/>
      <c r="HB72" s="682"/>
      <c r="HC72" s="45"/>
      <c r="HD72" s="602">
        <v>102326.36590999999</v>
      </c>
      <c r="HE72" s="608">
        <f t="shared" si="225"/>
        <v>0.10037018315869563</v>
      </c>
      <c r="HF72" s="602">
        <f t="shared" si="226"/>
        <v>917163.31409</v>
      </c>
      <c r="HG72" s="602">
        <f ca="1">IF(EE72&lt;DATEDIF(TODAY(),$HG$1,"M"),HF72,(HF72/EE72*DATEDIF(TODAY(),$HG$1,"M")))</f>
        <v>687872.4855675</v>
      </c>
      <c r="HH72" s="608">
        <f ca="1">(HD72+HG72)/FZ72</f>
        <v>0.7750925457896739</v>
      </c>
      <c r="HI72" s="602"/>
      <c r="HJ72" s="602">
        <f t="shared" si="257"/>
        <v>151920</v>
      </c>
      <c r="HK72" s="602">
        <f t="shared" si="253"/>
        <v>0</v>
      </c>
      <c r="HL72" s="602" t="s">
        <v>789</v>
      </c>
      <c r="HM72" s="673"/>
      <c r="HN72" s="62"/>
      <c r="HO72" s="673"/>
      <c r="HP72" s="673">
        <f t="shared" si="236"/>
        <v>0</v>
      </c>
      <c r="HQ72" s="539"/>
      <c r="HR72" s="539"/>
      <c r="HS72" s="539"/>
      <c r="HT72" s="539"/>
      <c r="HU72" s="539"/>
      <c r="HV72" s="673"/>
      <c r="HW72" s="673">
        <f t="shared" si="199"/>
        <v>0</v>
      </c>
      <c r="HX72" s="539"/>
    </row>
    <row r="73" spans="1:232" ht="41.25" customHeight="1">
      <c r="A73" s="560" t="s">
        <v>756</v>
      </c>
      <c r="B73" s="31" t="s">
        <v>14</v>
      </c>
      <c r="C73" s="31" t="s">
        <v>90</v>
      </c>
      <c r="D73" s="31">
        <v>2016</v>
      </c>
      <c r="E73" s="31" t="s">
        <v>201</v>
      </c>
      <c r="F73" s="31" t="s">
        <v>16</v>
      </c>
      <c r="G73" s="31" t="s">
        <v>141</v>
      </c>
      <c r="H73" s="31" t="s">
        <v>138</v>
      </c>
      <c r="I73" s="31"/>
      <c r="J73" s="31" t="s">
        <v>256</v>
      </c>
      <c r="K73" s="180" t="s">
        <v>600</v>
      </c>
      <c r="L73" s="114"/>
      <c r="M73" s="115"/>
      <c r="N73" s="116"/>
      <c r="O73" s="142">
        <v>2872</v>
      </c>
      <c r="P73" s="142">
        <v>516960</v>
      </c>
      <c r="Q73" s="142">
        <f>P73</f>
        <v>516960</v>
      </c>
      <c r="R73" s="142">
        <f t="shared" ref="R73:R79" si="265">P73/AD73</f>
        <v>12924</v>
      </c>
      <c r="S73" s="142">
        <f t="shared" ref="S73:S79" si="266">P73/O73</f>
        <v>180</v>
      </c>
      <c r="T73" s="148">
        <f t="shared" ref="T73:T79" si="267">Q73/O73</f>
        <v>180</v>
      </c>
      <c r="U73" s="148">
        <f t="shared" ref="U73:U79" si="268">Q73/AK73</f>
        <v>220.70237454852838</v>
      </c>
      <c r="V73" s="148">
        <f t="shared" ref="V73:V79" si="269">Q73/AD73</f>
        <v>12924</v>
      </c>
      <c r="W73" s="142">
        <f t="shared" ref="W73:W79" si="270">O73/AD73</f>
        <v>71.8</v>
      </c>
      <c r="X73" s="143"/>
      <c r="Y73" s="525">
        <f t="shared" si="206"/>
        <v>139.27576601671308</v>
      </c>
      <c r="Z73" s="143"/>
      <c r="AA73" s="143"/>
      <c r="AB73" s="144"/>
      <c r="AC73" s="31" t="s">
        <v>10</v>
      </c>
      <c r="AD73" s="493">
        <f t="shared" si="243"/>
        <v>40</v>
      </c>
      <c r="AE73" s="493">
        <f t="shared" si="207"/>
        <v>40</v>
      </c>
      <c r="AF73" s="42"/>
      <c r="AG73" s="31">
        <v>40</v>
      </c>
      <c r="AH73" s="42"/>
      <c r="AI73" s="42"/>
      <c r="AJ73" s="796">
        <v>2318.6500000000005</v>
      </c>
      <c r="AK73" s="276">
        <v>2342.34</v>
      </c>
      <c r="AL73" s="586">
        <f t="shared" si="244"/>
        <v>57.966250000000016</v>
      </c>
      <c r="AM73" s="8">
        <f t="shared" si="245"/>
        <v>58.558500000000002</v>
      </c>
      <c r="AN73" s="35">
        <v>5.85</v>
      </c>
      <c r="AO73" s="35">
        <v>5.79</v>
      </c>
      <c r="AP73" s="35">
        <v>339.25</v>
      </c>
      <c r="AQ73" s="53"/>
      <c r="AR73" s="53">
        <f>37/AD73</f>
        <v>0.92500000000000004</v>
      </c>
      <c r="AS73" s="53">
        <f>2/AD73</f>
        <v>0.05</v>
      </c>
      <c r="AT73" s="53">
        <f>1/AD73</f>
        <v>2.5000000000000001E-2</v>
      </c>
      <c r="AU73" s="53"/>
      <c r="AV73" s="35"/>
      <c r="AW73" s="51"/>
      <c r="AX73" s="53"/>
      <c r="AY73" s="35">
        <v>3</v>
      </c>
      <c r="AZ73" s="34" t="s">
        <v>398</v>
      </c>
      <c r="BA73" s="31" t="s">
        <v>99</v>
      </c>
      <c r="BB73" s="31"/>
      <c r="BC73" s="31"/>
      <c r="BD73" s="31"/>
      <c r="BE73" s="31"/>
      <c r="BF73" s="164">
        <v>42314</v>
      </c>
      <c r="BG73" s="164"/>
      <c r="BH73" s="164">
        <v>42475</v>
      </c>
      <c r="BI73" s="164"/>
      <c r="BJ73" s="660">
        <v>42459</v>
      </c>
      <c r="BK73" s="660">
        <v>42629</v>
      </c>
      <c r="BL73" s="661">
        <v>42657</v>
      </c>
      <c r="BM73" s="659">
        <f t="shared" si="246"/>
        <v>5.666666666666667</v>
      </c>
      <c r="BN73" s="578" t="s">
        <v>235</v>
      </c>
      <c r="BO73" s="110">
        <v>43241</v>
      </c>
      <c r="BP73" s="139">
        <v>43368</v>
      </c>
      <c r="BQ73" s="654">
        <f t="shared" si="239"/>
        <v>4.2333333333333334</v>
      </c>
      <c r="BR73" s="638">
        <v>87781</v>
      </c>
      <c r="BS73" s="110">
        <v>43440</v>
      </c>
      <c r="BT73" s="110"/>
      <c r="BU73" s="202">
        <v>43466</v>
      </c>
      <c r="BV73" s="201">
        <f t="shared" si="208"/>
        <v>44197</v>
      </c>
      <c r="BW73" s="439">
        <f>14168+62195</f>
        <v>76363</v>
      </c>
      <c r="BX73" s="201" t="str">
        <f>IF(EL73&gt;BV73,"oui","non")</f>
        <v>oui</v>
      </c>
      <c r="BY73" s="557">
        <f t="shared" ref="BY73:BY79" si="271">(BV73-EL73)/30</f>
        <v>-4.9666666666666668</v>
      </c>
      <c r="BZ73" s="439" t="str">
        <f t="shared" ref="BZ73:BZ79" si="272">IF((BY73*EO73)&lt;0,"0",BY73*EO73)</f>
        <v>0</v>
      </c>
      <c r="CA73" s="439">
        <f t="shared" ref="CA73:CA79" si="273">BW73-BZ73</f>
        <v>76363</v>
      </c>
      <c r="CB73" s="81"/>
      <c r="CC73" s="81"/>
      <c r="CD73" s="81"/>
      <c r="CE73" s="326" t="str">
        <f t="shared" si="229"/>
        <v>0</v>
      </c>
      <c r="CF73" s="81"/>
      <c r="CG73" s="81"/>
      <c r="CH73" s="326" t="str">
        <f t="shared" si="230"/>
        <v>0</v>
      </c>
      <c r="CI73" s="81"/>
      <c r="CJ73" s="81">
        <v>42667</v>
      </c>
      <c r="CK73" s="326" t="str">
        <f t="shared" si="231"/>
        <v>0</v>
      </c>
      <c r="CL73" s="81"/>
      <c r="CM73" s="81">
        <v>42927</v>
      </c>
      <c r="CN73" s="326" t="str">
        <f t="shared" si="232"/>
        <v>0</v>
      </c>
      <c r="CO73" s="81"/>
      <c r="CP73" s="81">
        <v>43222</v>
      </c>
      <c r="CQ73" s="326" t="str">
        <f t="shared" si="247"/>
        <v>0</v>
      </c>
      <c r="CR73" s="290"/>
      <c r="CS73" s="214">
        <v>43619</v>
      </c>
      <c r="CT73" s="214">
        <v>43680</v>
      </c>
      <c r="CU73" s="214">
        <v>43719</v>
      </c>
      <c r="CV73" s="326">
        <f t="shared" si="263"/>
        <v>39</v>
      </c>
      <c r="CW73" s="214">
        <v>43693</v>
      </c>
      <c r="CX73" s="282">
        <v>43738</v>
      </c>
      <c r="CY73" s="283">
        <v>2019</v>
      </c>
      <c r="CZ73" s="288">
        <f t="shared" si="240"/>
        <v>36.966666666666669</v>
      </c>
      <c r="DA73" s="448">
        <f t="shared" si="209"/>
        <v>45</v>
      </c>
      <c r="DB73" s="179">
        <v>16</v>
      </c>
      <c r="DC73" s="76">
        <f t="shared" si="210"/>
        <v>19</v>
      </c>
      <c r="DD73" s="214">
        <v>43801</v>
      </c>
      <c r="DE73" s="214">
        <f t="shared" ca="1" si="254"/>
        <v>43950</v>
      </c>
      <c r="DF73" s="448">
        <f t="shared" ca="1" si="233"/>
        <v>149</v>
      </c>
      <c r="DG73" s="214">
        <v>43896</v>
      </c>
      <c r="DH73" s="395">
        <v>43902</v>
      </c>
      <c r="DI73" s="396">
        <f t="shared" si="212"/>
        <v>6</v>
      </c>
      <c r="DJ73" s="335">
        <v>44022</v>
      </c>
      <c r="DK73" s="348">
        <f t="shared" ca="1" si="213"/>
        <v>44022</v>
      </c>
      <c r="DL73" s="332">
        <f t="shared" ca="1" si="214"/>
        <v>0</v>
      </c>
      <c r="DM73" s="335">
        <v>44071</v>
      </c>
      <c r="DN73" s="335">
        <f t="shared" ca="1" si="255"/>
        <v>44071</v>
      </c>
      <c r="DO73" s="332">
        <f t="shared" ca="1" si="216"/>
        <v>0</v>
      </c>
      <c r="DP73" s="424">
        <v>44064</v>
      </c>
      <c r="DQ73" s="336"/>
      <c r="DR73" s="332" t="str">
        <f t="shared" si="217"/>
        <v>0</v>
      </c>
      <c r="DS73" s="335">
        <v>44113</v>
      </c>
      <c r="DT73" s="335">
        <f t="shared" ca="1" si="218"/>
        <v>44113</v>
      </c>
      <c r="DU73" s="332">
        <f t="shared" ca="1" si="219"/>
        <v>0</v>
      </c>
      <c r="DV73" s="335">
        <v>44099</v>
      </c>
      <c r="DW73" s="335">
        <f t="shared" ca="1" si="256"/>
        <v>44099</v>
      </c>
      <c r="DX73" s="332">
        <f t="shared" ca="1" si="221"/>
        <v>0</v>
      </c>
      <c r="DY73" s="335">
        <v>44113</v>
      </c>
      <c r="DZ73" s="335">
        <v>44113</v>
      </c>
      <c r="EA73" s="335">
        <v>44169</v>
      </c>
      <c r="EB73" s="477">
        <f t="shared" si="258"/>
        <v>44226</v>
      </c>
      <c r="EC73" s="476">
        <f>DATE(YEAR(EB73),MONTH(EB73)+3,DAY(EB73))</f>
        <v>44316</v>
      </c>
      <c r="ED73" s="473">
        <f t="shared" si="248"/>
        <v>3</v>
      </c>
      <c r="EE73" s="605">
        <f t="shared" ca="1" si="228"/>
        <v>12.2</v>
      </c>
      <c r="EF73" s="476">
        <f t="shared" si="202"/>
        <v>44632</v>
      </c>
      <c r="EG73" s="535"/>
      <c r="EH73" s="526"/>
      <c r="EI73" s="536"/>
      <c r="EJ73" s="295"/>
      <c r="EK73" s="534">
        <f t="shared" si="242"/>
        <v>44257</v>
      </c>
      <c r="EL73" s="476">
        <f>DATE(YEAR(EC73),MONTH(EC73)+1,DAY(EC73))</f>
        <v>44346</v>
      </c>
      <c r="EM73" s="368"/>
      <c r="EN73" s="471">
        <f t="shared" ref="EN73:EN79" si="274">(DATEDIF(EK73,EL73,"d"))/30</f>
        <v>2.9666666666666668</v>
      </c>
      <c r="EO73" s="461">
        <v>13586</v>
      </c>
      <c r="EP73" s="173">
        <f t="shared" si="259"/>
        <v>40305.133333333331</v>
      </c>
      <c r="EQ73" s="833">
        <f>EO73*3</f>
        <v>40758</v>
      </c>
      <c r="ER73" s="353">
        <v>0</v>
      </c>
      <c r="ES73" s="353">
        <v>0</v>
      </c>
      <c r="ET73" s="353"/>
      <c r="EU73" s="353"/>
      <c r="EV73" s="353"/>
      <c r="EW73" s="483">
        <f t="shared" si="260"/>
        <v>0</v>
      </c>
      <c r="EX73" s="350"/>
      <c r="EY73" s="362"/>
      <c r="EZ73" s="362" t="s">
        <v>930</v>
      </c>
      <c r="FA73" s="350" t="s">
        <v>807</v>
      </c>
      <c r="FB73" s="126">
        <f t="shared" si="234"/>
        <v>44632</v>
      </c>
      <c r="FC73" s="80"/>
      <c r="FD73" s="80"/>
      <c r="FE73" s="80"/>
      <c r="FF73" s="80"/>
      <c r="FG73" s="80"/>
      <c r="FH73" s="31"/>
      <c r="FI73" s="194">
        <f t="shared" si="201"/>
        <v>44681</v>
      </c>
      <c r="FJ73" s="194"/>
      <c r="FK73" s="31"/>
      <c r="FL73" s="31"/>
      <c r="FM73" s="31"/>
      <c r="FN73" s="31"/>
      <c r="FO73" s="31"/>
      <c r="FP73" s="31"/>
      <c r="FQ73" s="31"/>
      <c r="FR73" s="31"/>
      <c r="FS73" s="31"/>
      <c r="FT73" s="31"/>
      <c r="FU73" s="31"/>
      <c r="FV73" s="31"/>
      <c r="FW73" s="31"/>
      <c r="FX73" s="529"/>
      <c r="FY73" s="652">
        <f t="shared" si="249"/>
        <v>5202085.5631634295</v>
      </c>
      <c r="FZ73" s="550">
        <f t="shared" si="264"/>
        <v>5202085.5631634295</v>
      </c>
      <c r="GA73" s="500">
        <f t="shared" ref="GA73:GA79" si="275">FZ73</f>
        <v>5202085.5631634295</v>
      </c>
      <c r="GB73" s="610">
        <f>GM73+GN73+GR73+GQ73+GV73+GX73</f>
        <v>823733</v>
      </c>
      <c r="GC73" s="28">
        <f t="shared" si="250"/>
        <v>2220.8925959354447</v>
      </c>
      <c r="GD73" s="28">
        <f t="shared" si="261"/>
        <v>130052.13907908574</v>
      </c>
      <c r="GE73" s="45">
        <v>1623885.5631634293</v>
      </c>
      <c r="GF73" s="417">
        <v>1627589.86</v>
      </c>
      <c r="GG73" s="28">
        <f t="shared" si="252"/>
        <v>40597.139079085733</v>
      </c>
      <c r="GH73" s="45">
        <f>GI73+GJ73</f>
        <v>2754467</v>
      </c>
      <c r="GI73" s="59">
        <v>600494</v>
      </c>
      <c r="GJ73" s="59">
        <v>2153973</v>
      </c>
      <c r="GK73" s="407">
        <f t="shared" si="262"/>
        <v>68861.675000000003</v>
      </c>
      <c r="GL73" s="45"/>
      <c r="GM73" s="45">
        <v>800000</v>
      </c>
      <c r="GN73" s="45"/>
      <c r="GO73" s="23">
        <f t="shared" si="251"/>
        <v>0.15378447553129321</v>
      </c>
      <c r="GP73" s="60"/>
      <c r="GQ73" s="60"/>
      <c r="GR73" s="45">
        <v>23733</v>
      </c>
      <c r="GS73" s="28">
        <f t="shared" si="222"/>
        <v>20000</v>
      </c>
      <c r="GT73" s="28">
        <f t="shared" si="223"/>
        <v>60597.13907908574</v>
      </c>
      <c r="GU73" s="682"/>
      <c r="GV73" s="682"/>
      <c r="GW73" s="680">
        <f>(GE73+GM73+GV73)/AD73</f>
        <v>60597.13907908574</v>
      </c>
      <c r="GX73" s="682"/>
      <c r="GY73" s="682">
        <f t="shared" si="224"/>
        <v>60597.13907908574</v>
      </c>
      <c r="GZ73" s="681">
        <f t="shared" ref="GZ73:GZ79" si="276">(GE73+GM73+GV73+GX73)/(GU73+FZ73-HA73)</f>
        <v>0.46594496259870155</v>
      </c>
      <c r="HA73" s="682"/>
      <c r="HB73" s="682"/>
      <c r="HC73" s="45">
        <f>ES73</f>
        <v>0</v>
      </c>
      <c r="HD73" s="610">
        <v>311951</v>
      </c>
      <c r="HE73" s="608">
        <f t="shared" si="225"/>
        <v>5.9966526158078057E-2</v>
      </c>
      <c r="HF73" s="602">
        <f t="shared" si="226"/>
        <v>4890134.5631634295</v>
      </c>
      <c r="HG73" s="602">
        <f ca="1">IF(EE73&lt;DATEDIF(TODAY(),$HG$1,"M"),HF73,(HF73/EE73*DATEDIF(TODAY(),$HG$1,"M")))</f>
        <v>3206645.6151891341</v>
      </c>
      <c r="HH73" s="608">
        <f ca="1">(HG73+HD73)/FZ73</f>
        <v>0.67638191884130561</v>
      </c>
      <c r="HI73" s="602">
        <f>'[1]GLOBAL OPERATION'!$AG$85</f>
        <v>493780</v>
      </c>
      <c r="HJ73" s="602">
        <f t="shared" si="257"/>
        <v>329953</v>
      </c>
      <c r="HK73" s="608">
        <f t="shared" si="253"/>
        <v>0.59944180942125669</v>
      </c>
      <c r="HL73" s="608" t="s">
        <v>776</v>
      </c>
      <c r="HM73" s="673"/>
      <c r="HN73" s="62"/>
      <c r="HO73" s="673"/>
      <c r="HP73" s="673">
        <f t="shared" si="236"/>
        <v>0</v>
      </c>
      <c r="HQ73" s="539"/>
      <c r="HR73" s="539"/>
      <c r="HS73" s="539"/>
      <c r="HT73" s="539"/>
      <c r="HU73" s="539"/>
      <c r="HV73" s="673"/>
      <c r="HW73" s="673">
        <f t="shared" si="199"/>
        <v>0</v>
      </c>
      <c r="HX73" s="539"/>
    </row>
    <row r="74" spans="1:232" ht="32.25" customHeight="1">
      <c r="A74" s="63" t="s">
        <v>901</v>
      </c>
      <c r="B74" s="31" t="s">
        <v>21</v>
      </c>
      <c r="C74" s="31" t="s">
        <v>90</v>
      </c>
      <c r="D74" s="31">
        <v>2019</v>
      </c>
      <c r="E74" s="31" t="s">
        <v>689</v>
      </c>
      <c r="F74" s="74"/>
      <c r="G74" s="74"/>
      <c r="H74" s="33" t="s">
        <v>184</v>
      </c>
      <c r="I74" s="31"/>
      <c r="J74" s="31" t="s">
        <v>614</v>
      </c>
      <c r="K74" s="180"/>
      <c r="L74" s="114"/>
      <c r="M74" s="115"/>
      <c r="N74" s="116"/>
      <c r="O74" s="142">
        <f>1954/58*AD74</f>
        <v>1145.4482758620691</v>
      </c>
      <c r="P74" s="142">
        <v>533000</v>
      </c>
      <c r="Q74" s="142">
        <v>533000</v>
      </c>
      <c r="R74" s="142">
        <f t="shared" si="265"/>
        <v>15676.470588235294</v>
      </c>
      <c r="S74" s="142">
        <f t="shared" si="266"/>
        <v>465.32000722499845</v>
      </c>
      <c r="T74" s="148">
        <f t="shared" si="267"/>
        <v>465.32000722499845</v>
      </c>
      <c r="U74" s="148">
        <f t="shared" si="268"/>
        <v>200.08709231785693</v>
      </c>
      <c r="V74" s="148">
        <f t="shared" si="269"/>
        <v>15676.470588235294</v>
      </c>
      <c r="W74" s="142">
        <f t="shared" si="270"/>
        <v>33.689655172413794</v>
      </c>
      <c r="X74" s="143"/>
      <c r="Y74" s="525">
        <f t="shared" si="206"/>
        <v>296.82702149437051</v>
      </c>
      <c r="Z74" s="143" t="s">
        <v>164</v>
      </c>
      <c r="AA74" s="143">
        <v>600</v>
      </c>
      <c r="AB74" s="144"/>
      <c r="AC74" s="31" t="s">
        <v>9</v>
      </c>
      <c r="AD74" s="493">
        <f t="shared" si="243"/>
        <v>34</v>
      </c>
      <c r="AE74" s="493">
        <f t="shared" si="207"/>
        <v>34</v>
      </c>
      <c r="AF74" s="31">
        <v>34</v>
      </c>
      <c r="AG74" s="42"/>
      <c r="AH74" s="42"/>
      <c r="AI74" s="42"/>
      <c r="AJ74" s="797">
        <v>2181.9899999999998</v>
      </c>
      <c r="AK74" s="276">
        <v>2663.84</v>
      </c>
      <c r="AL74" s="586">
        <f t="shared" si="244"/>
        <v>64.176176470588231</v>
      </c>
      <c r="AM74" s="8">
        <f t="shared" si="245"/>
        <v>78.348235294117657</v>
      </c>
      <c r="AN74" s="35"/>
      <c r="AO74" s="35"/>
      <c r="AP74" s="35"/>
      <c r="AQ74" s="53">
        <f>4/AD74</f>
        <v>0.11764705882352941</v>
      </c>
      <c r="AR74" s="53">
        <f>6/AD74</f>
        <v>0.17647058823529413</v>
      </c>
      <c r="AS74" s="53">
        <f>11/AD74</f>
        <v>0.3235294117647059</v>
      </c>
      <c r="AT74" s="53">
        <f>13/AD74</f>
        <v>0.38235294117647056</v>
      </c>
      <c r="AU74" s="53"/>
      <c r="AV74" s="35"/>
      <c r="AW74" s="51" t="s">
        <v>133</v>
      </c>
      <c r="AX74" s="51" t="s">
        <v>133</v>
      </c>
      <c r="AY74" s="35"/>
      <c r="AZ74" s="31" t="s">
        <v>398</v>
      </c>
      <c r="BA74" s="31" t="s">
        <v>98</v>
      </c>
      <c r="BB74" s="160">
        <v>5591520.2517590132</v>
      </c>
      <c r="BC74" s="504">
        <f>BB74/AJ74</f>
        <v>2562.5783123474507</v>
      </c>
      <c r="BD74" s="388">
        <f>BB74/AK74</f>
        <v>2099.0450821967584</v>
      </c>
      <c r="BE74" s="392">
        <f>BB74/AD74</f>
        <v>164456.47799291214</v>
      </c>
      <c r="BF74" s="165"/>
      <c r="BG74" s="165"/>
      <c r="BH74" s="73">
        <v>43445</v>
      </c>
      <c r="BI74" s="126"/>
      <c r="BJ74" s="660">
        <v>43554</v>
      </c>
      <c r="BK74" s="660">
        <v>43665</v>
      </c>
      <c r="BL74" s="661"/>
      <c r="BM74" s="659">
        <f t="shared" si="246"/>
        <v>3.7</v>
      </c>
      <c r="BN74" s="578" t="s">
        <v>235</v>
      </c>
      <c r="BO74" s="110">
        <v>43696</v>
      </c>
      <c r="BP74" s="139">
        <v>43761</v>
      </c>
      <c r="BQ74" s="654">
        <f t="shared" si="239"/>
        <v>2.1666666666666665</v>
      </c>
      <c r="BR74" s="638">
        <v>102410</v>
      </c>
      <c r="BS74" s="110">
        <v>43761</v>
      </c>
      <c r="BT74" s="110">
        <v>43761</v>
      </c>
      <c r="BU74" s="202">
        <v>43770</v>
      </c>
      <c r="BV74" s="201">
        <f t="shared" si="208"/>
        <v>44501</v>
      </c>
      <c r="BW74" s="439"/>
      <c r="BX74" s="201" t="str">
        <f>IF(EL74&gt;BV74,"oui","non")</f>
        <v>oui</v>
      </c>
      <c r="BY74" s="557">
        <f t="shared" si="271"/>
        <v>-3.7</v>
      </c>
      <c r="BZ74" s="439" t="str">
        <f t="shared" si="272"/>
        <v>0</v>
      </c>
      <c r="CA74" s="439">
        <f t="shared" si="273"/>
        <v>0</v>
      </c>
      <c r="CB74" s="339"/>
      <c r="CC74" s="341"/>
      <c r="CD74" s="341"/>
      <c r="CE74" s="343" t="str">
        <f t="shared" si="229"/>
        <v>0</v>
      </c>
      <c r="CF74" s="341"/>
      <c r="CG74" s="341"/>
      <c r="CH74" s="343" t="str">
        <f t="shared" si="230"/>
        <v>0</v>
      </c>
      <c r="CI74" s="341"/>
      <c r="CJ74" s="341"/>
      <c r="CK74" s="343" t="str">
        <f t="shared" si="231"/>
        <v>0</v>
      </c>
      <c r="CL74" s="341"/>
      <c r="CM74" s="341"/>
      <c r="CN74" s="343" t="str">
        <f t="shared" si="232"/>
        <v>0</v>
      </c>
      <c r="CO74" s="344"/>
      <c r="CP74" s="341"/>
      <c r="CQ74" s="343" t="str">
        <f t="shared" si="247"/>
        <v>0</v>
      </c>
      <c r="CR74" s="290"/>
      <c r="CS74" s="345"/>
      <c r="CT74" s="330"/>
      <c r="CU74" s="331"/>
      <c r="CV74" s="332" t="str">
        <f t="shared" si="263"/>
        <v>0</v>
      </c>
      <c r="CW74" s="330"/>
      <c r="CX74" s="282">
        <v>43850</v>
      </c>
      <c r="CY74" s="283">
        <v>2020</v>
      </c>
      <c r="CZ74" s="284">
        <f t="shared" si="240"/>
        <v>6.166666666666667</v>
      </c>
      <c r="DA74" s="332" t="str">
        <f t="shared" si="209"/>
        <v>0</v>
      </c>
      <c r="DB74" s="179">
        <v>21</v>
      </c>
      <c r="DC74" s="169">
        <f t="shared" si="210"/>
        <v>24</v>
      </c>
      <c r="DD74" s="330"/>
      <c r="DE74" s="335">
        <f t="shared" ca="1" si="254"/>
        <v>43950</v>
      </c>
      <c r="DF74" s="332" t="str">
        <f t="shared" ca="1" si="233"/>
        <v>0</v>
      </c>
      <c r="DG74" s="330"/>
      <c r="DH74" s="348">
        <f ca="1">IF(DG74&lt;TODAY(),TODAY(),DG74)</f>
        <v>43950</v>
      </c>
      <c r="DI74" s="333" t="str">
        <f t="shared" ca="1" si="212"/>
        <v>0</v>
      </c>
      <c r="DJ74" s="334"/>
      <c r="DK74" s="348">
        <f t="shared" ca="1" si="213"/>
        <v>43950</v>
      </c>
      <c r="DL74" s="332" t="str">
        <f t="shared" ca="1" si="214"/>
        <v>0</v>
      </c>
      <c r="DM74" s="335"/>
      <c r="DN74" s="335">
        <f t="shared" ca="1" si="255"/>
        <v>43950</v>
      </c>
      <c r="DO74" s="332" t="str">
        <f t="shared" ca="1" si="216"/>
        <v>0</v>
      </c>
      <c r="DP74" s="336"/>
      <c r="DQ74" s="336"/>
      <c r="DR74" s="332" t="str">
        <f t="shared" si="217"/>
        <v>0</v>
      </c>
      <c r="DS74" s="335"/>
      <c r="DT74" s="335">
        <f t="shared" ca="1" si="218"/>
        <v>43950</v>
      </c>
      <c r="DU74" s="332" t="str">
        <f t="shared" ca="1" si="219"/>
        <v>0</v>
      </c>
      <c r="DV74" s="335"/>
      <c r="DW74" s="335">
        <f t="shared" ca="1" si="256"/>
        <v>43950</v>
      </c>
      <c r="DX74" s="332" t="str">
        <f t="shared" ca="1" si="221"/>
        <v>0</v>
      </c>
      <c r="DY74" s="335"/>
      <c r="DZ74" s="335"/>
      <c r="EA74" s="335"/>
      <c r="EB74" s="477">
        <f t="shared" si="258"/>
        <v>44489</v>
      </c>
      <c r="EC74" s="476">
        <f>DATE(YEAR(EB74),MONTH(EB74)+3,DAY(EB74))</f>
        <v>44581</v>
      </c>
      <c r="ED74" s="473">
        <f t="shared" si="248"/>
        <v>3.0666666666666669</v>
      </c>
      <c r="EE74" s="605">
        <f t="shared" ca="1" si="228"/>
        <v>21.033333333333335</v>
      </c>
      <c r="EF74" s="476">
        <f t="shared" ca="1" si="202"/>
        <v>44680</v>
      </c>
      <c r="EG74" s="535"/>
      <c r="EH74" s="526"/>
      <c r="EI74" s="536"/>
      <c r="EJ74" s="295"/>
      <c r="EK74" s="534">
        <f t="shared" si="242"/>
        <v>44520</v>
      </c>
      <c r="EL74" s="476">
        <f>DATE(YEAR(EC74),MONTH(EC74)+1,DAY(EC74))</f>
        <v>44612</v>
      </c>
      <c r="EM74" s="368"/>
      <c r="EN74" s="471">
        <f t="shared" si="274"/>
        <v>3.0666666666666669</v>
      </c>
      <c r="EO74" s="461">
        <v>18440.127306293001</v>
      </c>
      <c r="EP74" s="173">
        <f t="shared" si="259"/>
        <v>56549.723739298541</v>
      </c>
      <c r="EQ74" s="833">
        <f>EO74*3</f>
        <v>55320.381918879008</v>
      </c>
      <c r="ER74" s="353"/>
      <c r="ES74" s="353"/>
      <c r="ET74" s="353"/>
      <c r="EU74" s="353"/>
      <c r="EV74" s="353"/>
      <c r="EW74" s="483">
        <f t="shared" si="260"/>
        <v>0</v>
      </c>
      <c r="EX74" s="350"/>
      <c r="EY74" s="362"/>
      <c r="EZ74" s="350" t="s">
        <v>930</v>
      </c>
      <c r="FA74" s="31" t="s">
        <v>815</v>
      </c>
      <c r="FB74" s="126">
        <f t="shared" ca="1" si="234"/>
        <v>44680</v>
      </c>
      <c r="FC74" s="80"/>
      <c r="FD74" s="80"/>
      <c r="FE74" s="80"/>
      <c r="FF74" s="80"/>
      <c r="FG74" s="80"/>
      <c r="FH74" s="31"/>
      <c r="FI74" s="194">
        <f t="shared" si="201"/>
        <v>44946</v>
      </c>
      <c r="FJ74" s="194"/>
      <c r="FK74" s="31"/>
      <c r="FL74" s="31"/>
      <c r="FM74" s="31"/>
      <c r="FN74" s="31"/>
      <c r="FO74" s="31"/>
      <c r="FP74" s="31"/>
      <c r="FQ74" s="31"/>
      <c r="FR74" s="31"/>
      <c r="FS74" s="31"/>
      <c r="FT74" s="31"/>
      <c r="FU74" s="31"/>
      <c r="FV74" s="31"/>
      <c r="FW74" s="31"/>
      <c r="FX74" s="529"/>
      <c r="FY74" s="652">
        <f t="shared" si="249"/>
        <v>5866669.3039263962</v>
      </c>
      <c r="FZ74" s="550">
        <f t="shared" si="264"/>
        <v>5866669.3039263962</v>
      </c>
      <c r="GA74" s="45">
        <f t="shared" si="275"/>
        <v>5866669.3039263962</v>
      </c>
      <c r="GB74" s="602">
        <f>GM74+GN74+GR74+GV74</f>
        <v>680000</v>
      </c>
      <c r="GC74" s="28">
        <f t="shared" si="250"/>
        <v>2202.3354645648374</v>
      </c>
      <c r="GD74" s="28">
        <f t="shared" si="261"/>
        <v>172549.09717430576</v>
      </c>
      <c r="GE74" s="49">
        <v>1880767.7657972611</v>
      </c>
      <c r="GF74" s="417">
        <v>1880767.7657972611</v>
      </c>
      <c r="GG74" s="28">
        <f t="shared" si="252"/>
        <v>55316.698994037091</v>
      </c>
      <c r="GH74" s="775">
        <f>GI74+GJ74</f>
        <v>3305901.538129135</v>
      </c>
      <c r="GI74" s="774">
        <v>591449.37046365719</v>
      </c>
      <c r="GJ74" s="774">
        <v>2714452.1676654778</v>
      </c>
      <c r="GK74" s="407">
        <f t="shared" si="262"/>
        <v>97232.398180268676</v>
      </c>
      <c r="GL74" s="623"/>
      <c r="GM74" s="45">
        <v>680000</v>
      </c>
      <c r="GN74" s="45"/>
      <c r="GO74" s="23">
        <f t="shared" si="251"/>
        <v>0.11590903880416357</v>
      </c>
      <c r="GP74" s="45"/>
      <c r="GQ74" s="45"/>
      <c r="GR74" s="45"/>
      <c r="GS74" s="28">
        <f t="shared" si="222"/>
        <v>20000</v>
      </c>
      <c r="GT74" s="28">
        <f t="shared" si="223"/>
        <v>75316.698994037099</v>
      </c>
      <c r="GU74" s="682"/>
      <c r="GV74" s="682"/>
      <c r="GW74" s="680">
        <f>(GE74+GM74+GV74)/AD74</f>
        <v>75316.698994037099</v>
      </c>
      <c r="GX74" s="682"/>
      <c r="GY74" s="682">
        <f t="shared" si="224"/>
        <v>75316.698994037099</v>
      </c>
      <c r="GZ74" s="681">
        <f t="shared" si="276"/>
        <v>0.43649430931506766</v>
      </c>
      <c r="HA74" s="682"/>
      <c r="HB74" s="682"/>
      <c r="HC74" s="45"/>
      <c r="HD74" s="442"/>
      <c r="HE74" s="608">
        <f t="shared" si="225"/>
        <v>0</v>
      </c>
      <c r="HF74" s="602">
        <f t="shared" si="226"/>
        <v>5866669.3039263962</v>
      </c>
      <c r="HG74" s="602">
        <f ca="1">IF(EE74&lt;DATEDIF(TODAY(),$HG$1,"M"),HF74,(HF74/EE74*DATEDIF(TODAY(),$HG$1,"M")))*0</f>
        <v>0</v>
      </c>
      <c r="HH74" s="608">
        <f ca="1">(HD74+HG74)/FZ74</f>
        <v>0</v>
      </c>
      <c r="HI74" s="602"/>
      <c r="HJ74" s="602">
        <f t="shared" si="257"/>
        <v>680000</v>
      </c>
      <c r="HK74" s="602">
        <f t="shared" si="253"/>
        <v>0</v>
      </c>
      <c r="HL74" s="602"/>
      <c r="HM74" s="673"/>
      <c r="HN74" s="62"/>
      <c r="HO74" s="673"/>
      <c r="HP74" s="673">
        <f t="shared" si="236"/>
        <v>0</v>
      </c>
      <c r="HQ74" s="539"/>
      <c r="HR74" s="539"/>
      <c r="HS74" s="539"/>
      <c r="HT74" s="539"/>
      <c r="HU74" s="539"/>
      <c r="HV74" s="673"/>
      <c r="HW74" s="673">
        <f t="shared" si="199"/>
        <v>0</v>
      </c>
      <c r="HX74" s="539"/>
    </row>
    <row r="75" spans="1:232" ht="12" customHeight="1">
      <c r="A75" s="63" t="s">
        <v>902</v>
      </c>
      <c r="B75" s="31" t="s">
        <v>21</v>
      </c>
      <c r="C75" s="31" t="s">
        <v>90</v>
      </c>
      <c r="D75" s="31">
        <v>2019</v>
      </c>
      <c r="E75" s="31" t="s">
        <v>689</v>
      </c>
      <c r="F75" s="32" t="s">
        <v>903</v>
      </c>
      <c r="G75" s="32" t="s">
        <v>337</v>
      </c>
      <c r="H75" s="32" t="s">
        <v>138</v>
      </c>
      <c r="I75" s="32"/>
      <c r="J75" s="31" t="s">
        <v>614</v>
      </c>
      <c r="K75" s="180"/>
      <c r="L75" s="114"/>
      <c r="M75" s="115"/>
      <c r="N75" s="116"/>
      <c r="O75" s="142">
        <f>1954/58*AD75</f>
        <v>808.55172413793105</v>
      </c>
      <c r="P75" s="142">
        <v>445600</v>
      </c>
      <c r="Q75" s="142">
        <v>445600</v>
      </c>
      <c r="R75" s="142">
        <f t="shared" si="265"/>
        <v>18566.666666666668</v>
      </c>
      <c r="S75" s="142">
        <f t="shared" si="266"/>
        <v>551.10883657454792</v>
      </c>
      <c r="T75" s="148">
        <f t="shared" si="267"/>
        <v>551.10883657454792</v>
      </c>
      <c r="U75" s="148">
        <f t="shared" si="268"/>
        <v>198.83093123912366</v>
      </c>
      <c r="V75" s="148">
        <f t="shared" si="269"/>
        <v>18566.666666666668</v>
      </c>
      <c r="W75" s="142">
        <f t="shared" si="270"/>
        <v>33.689655172413794</v>
      </c>
      <c r="X75" s="151"/>
      <c r="Y75" s="525">
        <f t="shared" si="206"/>
        <v>296.82702149437051</v>
      </c>
      <c r="Z75" s="143" t="s">
        <v>164</v>
      </c>
      <c r="AA75" s="143">
        <v>600</v>
      </c>
      <c r="AB75" s="150"/>
      <c r="AC75" s="32" t="s">
        <v>301</v>
      </c>
      <c r="AD75" s="493">
        <f t="shared" si="243"/>
        <v>24</v>
      </c>
      <c r="AE75" s="493">
        <f t="shared" si="207"/>
        <v>24</v>
      </c>
      <c r="AF75" s="42"/>
      <c r="AG75" s="42"/>
      <c r="AH75" s="31">
        <v>24</v>
      </c>
      <c r="AI75" s="42"/>
      <c r="AJ75" s="797">
        <v>1913.93</v>
      </c>
      <c r="AK75" s="276">
        <v>2241.1</v>
      </c>
      <c r="AL75" s="586">
        <f t="shared" si="244"/>
        <v>79.747083333333336</v>
      </c>
      <c r="AM75" s="8">
        <f t="shared" si="245"/>
        <v>93.379166666666663</v>
      </c>
      <c r="AN75" s="35"/>
      <c r="AO75" s="35"/>
      <c r="AP75" s="35"/>
      <c r="AQ75" s="54"/>
      <c r="AR75" s="54"/>
      <c r="AS75" s="54">
        <f>8/AD75</f>
        <v>0.33333333333333331</v>
      </c>
      <c r="AT75" s="54">
        <f>12/AD75</f>
        <v>0.5</v>
      </c>
      <c r="AU75" s="54">
        <f>4/AD75</f>
        <v>0.16666666666666666</v>
      </c>
      <c r="AV75" s="36"/>
      <c r="AW75" s="51" t="s">
        <v>133</v>
      </c>
      <c r="AX75" s="51" t="s">
        <v>133</v>
      </c>
      <c r="AY75" s="36"/>
      <c r="AZ75" s="31" t="s">
        <v>398</v>
      </c>
      <c r="BA75" s="31" t="s">
        <v>98</v>
      </c>
      <c r="BB75" s="160">
        <v>4669073.3601299999</v>
      </c>
      <c r="BC75" s="504">
        <f>BB75/AJ75</f>
        <v>2439.5214872696492</v>
      </c>
      <c r="BD75" s="388">
        <f>BB75/AK75</f>
        <v>2083.3846593770918</v>
      </c>
      <c r="BE75" s="392">
        <f>BB75/AD75</f>
        <v>194544.72333874999</v>
      </c>
      <c r="BF75" s="130"/>
      <c r="BG75" s="130"/>
      <c r="BH75" s="73">
        <v>43445</v>
      </c>
      <c r="BI75" s="126"/>
      <c r="BJ75" s="660">
        <v>43554</v>
      </c>
      <c r="BK75" s="660">
        <v>43650</v>
      </c>
      <c r="BL75" s="661">
        <v>43650</v>
      </c>
      <c r="BM75" s="659">
        <f t="shared" si="246"/>
        <v>3.2</v>
      </c>
      <c r="BN75" s="578" t="s">
        <v>235</v>
      </c>
      <c r="BO75" s="110">
        <v>43696</v>
      </c>
      <c r="BP75" s="139">
        <v>43761</v>
      </c>
      <c r="BQ75" s="654">
        <f t="shared" si="239"/>
        <v>2.1666666666666665</v>
      </c>
      <c r="BR75" s="638">
        <v>102410</v>
      </c>
      <c r="BS75" s="110">
        <v>43761</v>
      </c>
      <c r="BT75" s="110">
        <v>43761</v>
      </c>
      <c r="BU75" s="202">
        <v>43770</v>
      </c>
      <c r="BV75" s="201">
        <f t="shared" si="208"/>
        <v>44501</v>
      </c>
      <c r="BW75" s="439"/>
      <c r="BX75" s="201" t="str">
        <f>IF(EL75&gt;BV75,"oui","non")</f>
        <v>oui</v>
      </c>
      <c r="BY75" s="557">
        <f t="shared" si="271"/>
        <v>-3.7</v>
      </c>
      <c r="BZ75" s="439" t="str">
        <f t="shared" si="272"/>
        <v>0</v>
      </c>
      <c r="CA75" s="439">
        <f t="shared" si="273"/>
        <v>0</v>
      </c>
      <c r="CB75" s="339"/>
      <c r="CC75" s="341"/>
      <c r="CD75" s="341"/>
      <c r="CE75" s="343" t="str">
        <f t="shared" si="229"/>
        <v>0</v>
      </c>
      <c r="CF75" s="341"/>
      <c r="CG75" s="341"/>
      <c r="CH75" s="343" t="str">
        <f t="shared" si="230"/>
        <v>0</v>
      </c>
      <c r="CI75" s="341"/>
      <c r="CJ75" s="341"/>
      <c r="CK75" s="343" t="str">
        <f t="shared" si="231"/>
        <v>0</v>
      </c>
      <c r="CL75" s="341"/>
      <c r="CM75" s="341"/>
      <c r="CN75" s="343" t="str">
        <f t="shared" si="232"/>
        <v>0</v>
      </c>
      <c r="CO75" s="341"/>
      <c r="CP75" s="341"/>
      <c r="CQ75" s="343" t="str">
        <f t="shared" si="247"/>
        <v>0</v>
      </c>
      <c r="CR75" s="290"/>
      <c r="CS75" s="342"/>
      <c r="CT75" s="337"/>
      <c r="CU75" s="335"/>
      <c r="CV75" s="332" t="str">
        <f t="shared" si="263"/>
        <v>0</v>
      </c>
      <c r="CW75" s="337"/>
      <c r="CX75" s="282">
        <v>43850</v>
      </c>
      <c r="CY75" s="283">
        <v>2020</v>
      </c>
      <c r="CZ75" s="284">
        <f t="shared" si="240"/>
        <v>6.666666666666667</v>
      </c>
      <c r="DA75" s="332" t="str">
        <f t="shared" si="209"/>
        <v>0</v>
      </c>
      <c r="DB75" s="179">
        <v>21</v>
      </c>
      <c r="DC75" s="169">
        <f t="shared" si="210"/>
        <v>24</v>
      </c>
      <c r="DD75" s="335"/>
      <c r="DE75" s="335">
        <f t="shared" ca="1" si="254"/>
        <v>43950</v>
      </c>
      <c r="DF75" s="332" t="str">
        <f t="shared" ca="1" si="233"/>
        <v>0</v>
      </c>
      <c r="DG75" s="330"/>
      <c r="DH75" s="348">
        <f ca="1">IF(DG75&lt;TODAY(),TODAY(),DG75)</f>
        <v>43950</v>
      </c>
      <c r="DI75" s="333" t="str">
        <f t="shared" ca="1" si="212"/>
        <v>0</v>
      </c>
      <c r="DJ75" s="335"/>
      <c r="DK75" s="348">
        <f t="shared" ca="1" si="213"/>
        <v>43950</v>
      </c>
      <c r="DL75" s="332" t="str">
        <f t="shared" ca="1" si="214"/>
        <v>0</v>
      </c>
      <c r="DM75" s="335"/>
      <c r="DN75" s="335">
        <f t="shared" ca="1" si="255"/>
        <v>43950</v>
      </c>
      <c r="DO75" s="332" t="str">
        <f t="shared" ca="1" si="216"/>
        <v>0</v>
      </c>
      <c r="DP75" s="336"/>
      <c r="DQ75" s="336"/>
      <c r="DR75" s="332" t="str">
        <f t="shared" si="217"/>
        <v>0</v>
      </c>
      <c r="DS75" s="335"/>
      <c r="DT75" s="335">
        <f t="shared" ca="1" si="218"/>
        <v>43950</v>
      </c>
      <c r="DU75" s="332" t="str">
        <f t="shared" ca="1" si="219"/>
        <v>0</v>
      </c>
      <c r="DV75" s="335"/>
      <c r="DW75" s="335">
        <f t="shared" ca="1" si="256"/>
        <v>43950</v>
      </c>
      <c r="DX75" s="332" t="str">
        <f t="shared" ca="1" si="221"/>
        <v>0</v>
      </c>
      <c r="DY75" s="335"/>
      <c r="DZ75" s="335"/>
      <c r="EA75" s="335"/>
      <c r="EB75" s="477">
        <f t="shared" si="258"/>
        <v>44489</v>
      </c>
      <c r="EC75" s="476">
        <f>DATE(YEAR(EB75),MONTH(EB75)+3,DAY(EB75))</f>
        <v>44581</v>
      </c>
      <c r="ED75" s="473">
        <f t="shared" si="248"/>
        <v>3.0666666666666669</v>
      </c>
      <c r="EE75" s="605">
        <f t="shared" ca="1" si="228"/>
        <v>21.033333333333335</v>
      </c>
      <c r="EF75" s="476">
        <f t="shared" ca="1" si="202"/>
        <v>44680</v>
      </c>
      <c r="EG75" s="535"/>
      <c r="EH75" s="526"/>
      <c r="EI75" s="536"/>
      <c r="EJ75" s="295"/>
      <c r="EK75" s="534">
        <f t="shared" si="242"/>
        <v>44520</v>
      </c>
      <c r="EL75" s="476">
        <f>DATE(YEAR(EC75),MONTH(EC75)+1,DAY(EC75))</f>
        <v>44612</v>
      </c>
      <c r="EM75" s="368"/>
      <c r="EN75" s="471">
        <f t="shared" si="274"/>
        <v>3.0666666666666669</v>
      </c>
      <c r="EO75" s="461">
        <v>21969</v>
      </c>
      <c r="EP75" s="173">
        <f t="shared" si="259"/>
        <v>67371.600000000006</v>
      </c>
      <c r="EQ75" s="833">
        <f>EO75*3</f>
        <v>65907</v>
      </c>
      <c r="ER75" s="353"/>
      <c r="ES75" s="353">
        <v>0</v>
      </c>
      <c r="ET75" s="353"/>
      <c r="EU75" s="353"/>
      <c r="EV75" s="353"/>
      <c r="EW75" s="483">
        <f t="shared" si="260"/>
        <v>0</v>
      </c>
      <c r="EX75" s="350"/>
      <c r="EY75" s="362"/>
      <c r="EZ75" s="362" t="s">
        <v>930</v>
      </c>
      <c r="FA75" s="31" t="s">
        <v>815</v>
      </c>
      <c r="FB75" s="126">
        <f t="shared" ca="1" si="234"/>
        <v>44680</v>
      </c>
      <c r="FC75" s="82"/>
      <c r="FD75" s="82"/>
      <c r="FE75" s="82"/>
      <c r="FF75" s="82"/>
      <c r="FG75" s="82"/>
      <c r="FH75" s="32"/>
      <c r="FI75" s="194">
        <f t="shared" si="201"/>
        <v>44946</v>
      </c>
      <c r="FJ75" s="194"/>
      <c r="FK75" s="32"/>
      <c r="FL75" s="32"/>
      <c r="FM75" s="32"/>
      <c r="FN75" s="32"/>
      <c r="FO75" s="32"/>
      <c r="FP75" s="32"/>
      <c r="FQ75" s="32"/>
      <c r="FR75" s="32"/>
      <c r="FS75" s="32"/>
      <c r="FT75" s="32"/>
      <c r="FU75" s="32"/>
      <c r="FV75" s="32"/>
      <c r="FW75" s="32"/>
      <c r="FX75" s="529"/>
      <c r="FY75" s="652">
        <f t="shared" si="249"/>
        <v>4896954.85645195</v>
      </c>
      <c r="FZ75" s="550">
        <f t="shared" si="264"/>
        <v>4896954.85645195</v>
      </c>
      <c r="GA75" s="45">
        <f t="shared" si="275"/>
        <v>4896954.85645195</v>
      </c>
      <c r="GB75" s="602">
        <f>GM75+GN75+GR75+GV75</f>
        <v>0</v>
      </c>
      <c r="GC75" s="28">
        <f t="shared" si="250"/>
        <v>2185.0675366792871</v>
      </c>
      <c r="GD75" s="28">
        <f t="shared" si="261"/>
        <v>204039.78568549792</v>
      </c>
      <c r="GE75" s="49">
        <v>1780093.4395553619</v>
      </c>
      <c r="GF75" s="417">
        <v>1780093.4395553619</v>
      </c>
      <c r="GG75" s="28">
        <f t="shared" si="252"/>
        <v>74170.559981473416</v>
      </c>
      <c r="GH75" s="775">
        <f>GI75+GJ75</f>
        <v>2546416.4168965882</v>
      </c>
      <c r="GI75" s="774">
        <v>561004.41689658829</v>
      </c>
      <c r="GJ75" s="774">
        <v>1985412</v>
      </c>
      <c r="GK75" s="407">
        <f t="shared" si="262"/>
        <v>106100.68403735785</v>
      </c>
      <c r="GL75" s="775">
        <v>570445</v>
      </c>
      <c r="GM75" s="49">
        <v>0</v>
      </c>
      <c r="GN75" s="49"/>
      <c r="GO75" s="23">
        <f t="shared" si="251"/>
        <v>0</v>
      </c>
      <c r="GP75" s="45"/>
      <c r="GQ75" s="45"/>
      <c r="GR75" s="49"/>
      <c r="GS75" s="28">
        <f t="shared" si="222"/>
        <v>0</v>
      </c>
      <c r="GT75" s="28">
        <f t="shared" si="223"/>
        <v>74170.559981473416</v>
      </c>
      <c r="GU75" s="685"/>
      <c r="GV75" s="685"/>
      <c r="GW75" s="680">
        <f>(GE75+GM75+GV75)/AD75</f>
        <v>74170.559981473416</v>
      </c>
      <c r="GX75" s="685"/>
      <c r="GY75" s="682">
        <f t="shared" si="224"/>
        <v>74170.559981473416</v>
      </c>
      <c r="GZ75" s="681">
        <f t="shared" si="276"/>
        <v>0.36351028174376809</v>
      </c>
      <c r="HA75" s="685"/>
      <c r="HB75" s="685"/>
      <c r="HC75" s="45">
        <f>ES75</f>
        <v>0</v>
      </c>
      <c r="HD75" s="602">
        <v>97815</v>
      </c>
      <c r="HE75" s="608">
        <f t="shared" si="225"/>
        <v>1.9974658306503378E-2</v>
      </c>
      <c r="HF75" s="602">
        <f t="shared" si="226"/>
        <v>4799139.85645195</v>
      </c>
      <c r="HG75" s="602">
        <f ca="1">IF(EE75&lt;DATEDIF(TODAY(),$HG$1,"M"),HF75,(HF75/EE75*DATEDIF(TODAY(),$HG$1,"M")))*0</f>
        <v>0</v>
      </c>
      <c r="HH75" s="608">
        <f ca="1">(HD75+HG75)/FZ75</f>
        <v>1.9974658306503378E-2</v>
      </c>
      <c r="HI75" s="602"/>
      <c r="HJ75" s="602">
        <f t="shared" si="257"/>
        <v>0</v>
      </c>
      <c r="HK75" s="602" t="e">
        <f t="shared" si="253"/>
        <v>#DIV/0!</v>
      </c>
      <c r="HL75" s="602"/>
      <c r="HM75" s="673"/>
      <c r="HN75" s="62"/>
      <c r="HO75" s="673"/>
      <c r="HP75" s="673">
        <f t="shared" si="236"/>
        <v>0</v>
      </c>
      <c r="HQ75" s="539"/>
      <c r="HR75" s="539"/>
      <c r="HS75" s="539"/>
      <c r="HT75" s="539"/>
      <c r="HU75" s="539"/>
      <c r="HV75" s="673"/>
      <c r="HW75" s="673">
        <f t="shared" si="199"/>
        <v>0</v>
      </c>
      <c r="HX75" s="539"/>
    </row>
    <row r="76" spans="1:232" ht="30" customHeight="1">
      <c r="A76" s="560" t="s">
        <v>455</v>
      </c>
      <c r="B76" s="31" t="s">
        <v>129</v>
      </c>
      <c r="C76" s="31" t="s">
        <v>92</v>
      </c>
      <c r="D76" s="31">
        <v>2018</v>
      </c>
      <c r="E76" s="31" t="s">
        <v>417</v>
      </c>
      <c r="F76" s="31" t="s">
        <v>40</v>
      </c>
      <c r="G76" s="6" t="s">
        <v>464</v>
      </c>
      <c r="H76" s="33" t="s">
        <v>140</v>
      </c>
      <c r="I76" s="31"/>
      <c r="J76" s="31" t="s">
        <v>439</v>
      </c>
      <c r="K76" s="180" t="s">
        <v>556</v>
      </c>
      <c r="L76" s="114" t="s">
        <v>414</v>
      </c>
      <c r="M76" s="115"/>
      <c r="N76" s="116"/>
      <c r="O76" s="142">
        <v>7382</v>
      </c>
      <c r="P76" s="142">
        <v>1016540</v>
      </c>
      <c r="Q76" s="142"/>
      <c r="R76" s="142">
        <f t="shared" si="265"/>
        <v>26065.128205128207</v>
      </c>
      <c r="S76" s="142">
        <f t="shared" si="266"/>
        <v>137.7052289352479</v>
      </c>
      <c r="T76" s="148">
        <f t="shared" si="267"/>
        <v>0</v>
      </c>
      <c r="U76" s="148">
        <f t="shared" si="268"/>
        <v>0</v>
      </c>
      <c r="V76" s="148">
        <f t="shared" si="269"/>
        <v>0</v>
      </c>
      <c r="W76" s="142">
        <f t="shared" si="270"/>
        <v>189.28205128205127</v>
      </c>
      <c r="X76" s="143"/>
      <c r="Y76" s="522">
        <f t="shared" si="206"/>
        <v>52.831211053914927</v>
      </c>
      <c r="Z76" s="143"/>
      <c r="AA76" s="143"/>
      <c r="AB76" s="144"/>
      <c r="AC76" s="31" t="s">
        <v>9</v>
      </c>
      <c r="AD76" s="493">
        <f t="shared" si="243"/>
        <v>39</v>
      </c>
      <c r="AE76" s="493">
        <f t="shared" si="207"/>
        <v>39</v>
      </c>
      <c r="AF76" s="31">
        <v>39</v>
      </c>
      <c r="AG76" s="42"/>
      <c r="AH76" s="42"/>
      <c r="AI76" s="42"/>
      <c r="AJ76" s="796">
        <v>2854.5000000000005</v>
      </c>
      <c r="AK76" s="276">
        <v>2854.5000000000005</v>
      </c>
      <c r="AL76" s="586">
        <f t="shared" si="244"/>
        <v>73.192307692307708</v>
      </c>
      <c r="AM76" s="8">
        <f t="shared" si="245"/>
        <v>73.192307692307708</v>
      </c>
      <c r="AN76" s="35">
        <v>6.8</v>
      </c>
      <c r="AO76" s="35">
        <v>6.8</v>
      </c>
      <c r="AP76" s="35">
        <v>497.46</v>
      </c>
      <c r="AQ76" s="53">
        <v>0</v>
      </c>
      <c r="AR76" s="53">
        <f>8/AD76</f>
        <v>0.20512820512820512</v>
      </c>
      <c r="AS76" s="53">
        <f>18/AD76</f>
        <v>0.46153846153846156</v>
      </c>
      <c r="AT76" s="53">
        <f>12/AD76</f>
        <v>0.30769230769230771</v>
      </c>
      <c r="AU76" s="53">
        <f>1/AD76</f>
        <v>2.564102564102564E-2</v>
      </c>
      <c r="AV76" s="35"/>
      <c r="AW76" s="51"/>
      <c r="AX76" s="53"/>
      <c r="AY76" s="35"/>
      <c r="AZ76" s="31" t="s">
        <v>398</v>
      </c>
      <c r="BA76" s="31" t="s">
        <v>99</v>
      </c>
      <c r="BB76" s="31"/>
      <c r="BC76" s="31"/>
      <c r="BD76" s="31"/>
      <c r="BE76" s="31"/>
      <c r="BF76" s="165"/>
      <c r="BG76" s="165"/>
      <c r="BH76" s="73">
        <v>43308</v>
      </c>
      <c r="BI76" s="381">
        <v>43713</v>
      </c>
      <c r="BJ76" s="660">
        <v>43189</v>
      </c>
      <c r="BK76" s="660">
        <v>43371</v>
      </c>
      <c r="BL76" s="661"/>
      <c r="BM76" s="659">
        <f t="shared" si="246"/>
        <v>6.0666666666666664</v>
      </c>
      <c r="BN76" s="578" t="s">
        <v>235</v>
      </c>
      <c r="BO76" s="452"/>
      <c r="BP76" s="554"/>
      <c r="BQ76" s="654">
        <f t="shared" si="239"/>
        <v>0</v>
      </c>
      <c r="BR76" s="639"/>
      <c r="BS76" s="110">
        <f>DATE(YEAR(BP76),MONTH(BP76)+3,DAY(BP76))</f>
        <v>91</v>
      </c>
      <c r="BT76" s="110"/>
      <c r="BU76" s="202"/>
      <c r="BV76" s="201">
        <f t="shared" si="208"/>
        <v>731</v>
      </c>
      <c r="BW76" s="439"/>
      <c r="BX76" s="201" t="str">
        <f>IF(EL76&gt;BV76,"oui","non")</f>
        <v>oui</v>
      </c>
      <c r="BY76" s="557">
        <f t="shared" si="271"/>
        <v>-1462.7</v>
      </c>
      <c r="BZ76" s="439" t="str">
        <f t="shared" si="272"/>
        <v>0</v>
      </c>
      <c r="CA76" s="439">
        <f t="shared" si="273"/>
        <v>0</v>
      </c>
      <c r="CB76" s="214">
        <v>43012</v>
      </c>
      <c r="CC76" s="81">
        <v>43027</v>
      </c>
      <c r="CD76" s="81">
        <v>43020</v>
      </c>
      <c r="CE76" s="326">
        <f t="shared" si="229"/>
        <v>-7</v>
      </c>
      <c r="CF76" s="81">
        <v>43139</v>
      </c>
      <c r="CG76" s="81">
        <v>43139</v>
      </c>
      <c r="CH76" s="326">
        <f t="shared" si="230"/>
        <v>0</v>
      </c>
      <c r="CI76" s="214">
        <v>43160</v>
      </c>
      <c r="CJ76" s="214">
        <v>43189</v>
      </c>
      <c r="CK76" s="326">
        <f t="shared" si="231"/>
        <v>29</v>
      </c>
      <c r="CL76" s="214">
        <v>43221</v>
      </c>
      <c r="CM76" s="214">
        <v>43287</v>
      </c>
      <c r="CN76" s="326">
        <f t="shared" si="232"/>
        <v>66</v>
      </c>
      <c r="CO76" s="214">
        <v>43282</v>
      </c>
      <c r="CP76" s="214">
        <v>43409</v>
      </c>
      <c r="CQ76" s="326">
        <f t="shared" si="247"/>
        <v>127</v>
      </c>
      <c r="CR76" s="290"/>
      <c r="CS76" s="345"/>
      <c r="CT76" s="330"/>
      <c r="CU76" s="335"/>
      <c r="CV76" s="332" t="str">
        <f t="shared" si="263"/>
        <v>0</v>
      </c>
      <c r="CW76" s="330"/>
      <c r="CX76" s="449">
        <v>44063</v>
      </c>
      <c r="CY76" s="233"/>
      <c r="CZ76" s="284">
        <f t="shared" si="240"/>
        <v>23.066666666666666</v>
      </c>
      <c r="DA76" s="332" t="str">
        <f t="shared" si="209"/>
        <v>0</v>
      </c>
      <c r="DB76" s="450">
        <v>16</v>
      </c>
      <c r="DC76" s="169">
        <f t="shared" si="210"/>
        <v>17</v>
      </c>
      <c r="DD76" s="330">
        <v>43743</v>
      </c>
      <c r="DE76" s="335">
        <f t="shared" ca="1" si="254"/>
        <v>43950</v>
      </c>
      <c r="DF76" s="332">
        <f t="shared" ca="1" si="233"/>
        <v>207</v>
      </c>
      <c r="DG76" s="330">
        <f>DATE(YEAR(DD76),MONTH(DD76)+2,DAY(DD76))</f>
        <v>43804</v>
      </c>
      <c r="DH76" s="348">
        <f ca="1">IF(DG76&lt;TODAY(),TODAY(),DG76)</f>
        <v>43950</v>
      </c>
      <c r="DI76" s="333">
        <f t="shared" ca="1" si="212"/>
        <v>146</v>
      </c>
      <c r="DJ76" s="334"/>
      <c r="DK76" s="348">
        <f t="shared" ca="1" si="213"/>
        <v>43950</v>
      </c>
      <c r="DL76" s="332" t="str">
        <f t="shared" ca="1" si="214"/>
        <v>0</v>
      </c>
      <c r="DM76" s="335"/>
      <c r="DN76" s="335">
        <f t="shared" ca="1" si="255"/>
        <v>43950</v>
      </c>
      <c r="DO76" s="332" t="str">
        <f t="shared" ca="1" si="216"/>
        <v>0</v>
      </c>
      <c r="DP76" s="336"/>
      <c r="DQ76" s="336"/>
      <c r="DR76" s="332" t="str">
        <f t="shared" si="217"/>
        <v>0</v>
      </c>
      <c r="DS76" s="335"/>
      <c r="DT76" s="335">
        <f t="shared" ca="1" si="218"/>
        <v>43950</v>
      </c>
      <c r="DU76" s="332" t="str">
        <f t="shared" ca="1" si="219"/>
        <v>0</v>
      </c>
      <c r="DV76" s="335"/>
      <c r="DW76" s="335">
        <f t="shared" ca="1" si="256"/>
        <v>43950</v>
      </c>
      <c r="DX76" s="332" t="str">
        <f t="shared" ca="1" si="221"/>
        <v>0</v>
      </c>
      <c r="DY76" s="336"/>
      <c r="DZ76" s="336"/>
      <c r="EA76" s="336"/>
      <c r="EB76" s="477">
        <f t="shared" si="258"/>
        <v>44550</v>
      </c>
      <c r="EC76" s="476">
        <f>DATE(YEAR(EB76),MONTH(EB76)+1,DAY(EB76))</f>
        <v>44581</v>
      </c>
      <c r="ED76" s="473">
        <f t="shared" si="248"/>
        <v>1.0333333333333334</v>
      </c>
      <c r="EE76" s="605">
        <f t="shared" ca="1" si="228"/>
        <v>21.033333333333335</v>
      </c>
      <c r="EF76" s="476">
        <f t="shared" ca="1" si="202"/>
        <v>44680</v>
      </c>
      <c r="EG76" s="535"/>
      <c r="EH76" s="526"/>
      <c r="EI76" s="536"/>
      <c r="EJ76" s="295"/>
      <c r="EK76" s="534">
        <f t="shared" si="242"/>
        <v>44581</v>
      </c>
      <c r="EL76" s="476">
        <f>DATE(YEAR(EC76),MONTH(EC76)+1,DAY(EC76))</f>
        <v>44612</v>
      </c>
      <c r="EM76" s="368"/>
      <c r="EN76" s="471">
        <f t="shared" si="274"/>
        <v>1.0333333333333334</v>
      </c>
      <c r="EO76" s="461">
        <v>19427</v>
      </c>
      <c r="EP76" s="173">
        <f t="shared" si="259"/>
        <v>20074.566666666669</v>
      </c>
      <c r="EQ76" s="77"/>
      <c r="ER76" s="353">
        <v>0</v>
      </c>
      <c r="ES76" s="353">
        <v>0</v>
      </c>
      <c r="ET76" s="353"/>
      <c r="EU76" s="353"/>
      <c r="EV76" s="353"/>
      <c r="EW76" s="483">
        <f t="shared" si="260"/>
        <v>0</v>
      </c>
      <c r="EX76" s="350"/>
      <c r="EY76" s="362"/>
      <c r="EZ76" s="350" t="s">
        <v>576</v>
      </c>
      <c r="FA76" s="350" t="s">
        <v>814</v>
      </c>
      <c r="FB76" s="126">
        <f t="shared" ca="1" si="234"/>
        <v>44680</v>
      </c>
      <c r="FC76" s="80"/>
      <c r="FD76" s="80"/>
      <c r="FE76" s="80"/>
      <c r="FF76" s="80"/>
      <c r="FG76" s="80"/>
      <c r="FH76" s="31"/>
      <c r="FI76" s="194">
        <f t="shared" si="201"/>
        <v>44946</v>
      </c>
      <c r="FJ76" s="194"/>
      <c r="FK76" s="31"/>
      <c r="FL76" s="31"/>
      <c r="FM76" s="31"/>
      <c r="FN76" s="31"/>
      <c r="FO76" s="31"/>
      <c r="FP76" s="31"/>
      <c r="FQ76" s="31"/>
      <c r="FR76" s="31"/>
      <c r="FS76" s="31"/>
      <c r="FT76" s="31"/>
      <c r="FU76" s="31"/>
      <c r="FV76" s="31"/>
      <c r="FW76" s="31"/>
      <c r="FX76" s="529"/>
      <c r="FY76" s="652">
        <f t="shared" si="249"/>
        <v>7953242.5899999999</v>
      </c>
      <c r="FZ76" s="550">
        <f t="shared" si="264"/>
        <v>7953242.5899999999</v>
      </c>
      <c r="GA76" s="45">
        <f t="shared" si="275"/>
        <v>7953242.5899999999</v>
      </c>
      <c r="GB76" s="602">
        <f>GM76+GN76+GR76+GQ76+GV76+GX76</f>
        <v>1008481</v>
      </c>
      <c r="GC76" s="28">
        <f t="shared" si="250"/>
        <v>2786.2121527412851</v>
      </c>
      <c r="GD76" s="28">
        <f t="shared" si="261"/>
        <v>203929.29717948718</v>
      </c>
      <c r="GE76" s="49">
        <v>2544968.59</v>
      </c>
      <c r="GF76" s="417"/>
      <c r="GG76" s="28">
        <f t="shared" si="252"/>
        <v>65255.604871794865</v>
      </c>
      <c r="GH76" s="49">
        <f>GI76+GJ76</f>
        <v>4146293</v>
      </c>
      <c r="GI76" s="624">
        <v>1246293</v>
      </c>
      <c r="GJ76" s="624">
        <v>2900000</v>
      </c>
      <c r="GK76" s="407">
        <f t="shared" si="262"/>
        <v>106315.20512820513</v>
      </c>
      <c r="GL76" s="623"/>
      <c r="GM76" s="45">
        <v>741000</v>
      </c>
      <c r="GN76" s="45"/>
      <c r="GO76" s="23">
        <f t="shared" si="251"/>
        <v>9.3169545831746095E-2</v>
      </c>
      <c r="GP76" s="45">
        <v>253500</v>
      </c>
      <c r="GQ76" s="45"/>
      <c r="GR76" s="45">
        <f>65000+202481</f>
        <v>267481</v>
      </c>
      <c r="GS76" s="28">
        <f t="shared" si="222"/>
        <v>19000</v>
      </c>
      <c r="GT76" s="28">
        <f t="shared" si="223"/>
        <v>84255.604871794872</v>
      </c>
      <c r="GU76" s="682"/>
      <c r="GV76" s="682"/>
      <c r="GW76" s="680">
        <f>(GE76+GM76+GV76)/AD76</f>
        <v>84255.604871794872</v>
      </c>
      <c r="GX76" s="682"/>
      <c r="GY76" s="682">
        <f t="shared" si="224"/>
        <v>84255.604871794872</v>
      </c>
      <c r="GZ76" s="681">
        <f t="shared" si="276"/>
        <v>0.41316086524653589</v>
      </c>
      <c r="HA76" s="682"/>
      <c r="HB76" s="682"/>
      <c r="HC76" s="45">
        <f>ES76</f>
        <v>0</v>
      </c>
      <c r="HD76" s="610">
        <v>350991.23399999994</v>
      </c>
      <c r="HE76" s="608">
        <f t="shared" si="225"/>
        <v>4.4131840570450893E-2</v>
      </c>
      <c r="HF76" s="602">
        <f t="shared" si="226"/>
        <v>7602251.3559999997</v>
      </c>
      <c r="HG76" s="602">
        <f ca="1">IF(EE76&lt;DATEDIF(TODAY(),$HG$1,"M"),HF76,(HF76/EE76*DATEDIF(TODAY(),$HG$1,"M")))*0+2360000*5%+1016540</f>
        <v>1134540</v>
      </c>
      <c r="HH76" s="608">
        <f ca="1">(HG76+HD76)/FZ76</f>
        <v>0.18678309094555104</v>
      </c>
      <c r="HI76" s="602">
        <f>'[1]GLOBAL OPERATION'!$AG$60</f>
        <v>101100</v>
      </c>
      <c r="HJ76" s="602">
        <f t="shared" si="257"/>
        <v>907381</v>
      </c>
      <c r="HK76" s="608">
        <f t="shared" si="253"/>
        <v>0.10024978160223147</v>
      </c>
      <c r="HL76" s="647" t="s">
        <v>778</v>
      </c>
      <c r="HM76" s="673"/>
      <c r="HN76" s="62"/>
      <c r="HO76" s="673"/>
      <c r="HP76" s="673">
        <f t="shared" si="236"/>
        <v>0</v>
      </c>
      <c r="HQ76" s="539"/>
      <c r="HR76" s="539"/>
      <c r="HS76" s="539"/>
      <c r="HT76" s="539"/>
      <c r="HU76" s="539"/>
      <c r="HV76" s="673"/>
      <c r="HW76" s="673">
        <f t="shared" si="199"/>
        <v>0</v>
      </c>
      <c r="HX76" s="539"/>
    </row>
    <row r="77" spans="1:232" ht="30" hidden="1" customHeight="1">
      <c r="A77" s="426" t="s">
        <v>58</v>
      </c>
      <c r="B77" s="31" t="s">
        <v>20</v>
      </c>
      <c r="C77" s="31" t="s">
        <v>91</v>
      </c>
      <c r="D77" s="31">
        <v>2012</v>
      </c>
      <c r="E77" s="31" t="s">
        <v>69</v>
      </c>
      <c r="F77" s="31"/>
      <c r="G77" s="490" t="s">
        <v>438</v>
      </c>
      <c r="H77" s="31" t="s">
        <v>187</v>
      </c>
      <c r="I77" s="31"/>
      <c r="J77" s="31"/>
      <c r="K77" s="270" t="s">
        <v>432</v>
      </c>
      <c r="L77" s="789"/>
      <c r="M77" s="789"/>
      <c r="N77" s="789"/>
      <c r="O77" s="142">
        <v>6156.15</v>
      </c>
      <c r="P77" s="142">
        <v>164070</v>
      </c>
      <c r="Q77" s="142">
        <v>163875</v>
      </c>
      <c r="R77" s="142">
        <f t="shared" si="265"/>
        <v>7457.727272727273</v>
      </c>
      <c r="S77" s="142">
        <f t="shared" si="266"/>
        <v>26.651397383104701</v>
      </c>
      <c r="T77" s="142">
        <f t="shared" si="267"/>
        <v>26.619721741672961</v>
      </c>
      <c r="U77" s="142">
        <f t="shared" si="268"/>
        <v>97.053597867930122</v>
      </c>
      <c r="V77" s="142">
        <f t="shared" si="269"/>
        <v>7448.863636363636</v>
      </c>
      <c r="W77" s="142">
        <f t="shared" si="270"/>
        <v>279.82499999999999</v>
      </c>
      <c r="X77" s="143"/>
      <c r="Y77" s="522">
        <f t="shared" si="206"/>
        <v>35.736621102474764</v>
      </c>
      <c r="Z77" s="143" t="s">
        <v>152</v>
      </c>
      <c r="AA77" s="143">
        <v>890</v>
      </c>
      <c r="AB77" s="144"/>
      <c r="AC77" s="31" t="s">
        <v>10</v>
      </c>
      <c r="AD77" s="493">
        <f t="shared" si="243"/>
        <v>22</v>
      </c>
      <c r="AE77" s="493">
        <f t="shared" si="207"/>
        <v>22</v>
      </c>
      <c r="AF77" s="42"/>
      <c r="AG77" s="31">
        <v>22</v>
      </c>
      <c r="AH77" s="272"/>
      <c r="AI77" s="272"/>
      <c r="AJ77" s="35">
        <v>1688.5</v>
      </c>
      <c r="AK77" s="276">
        <v>1688.5</v>
      </c>
      <c r="AL77" s="586">
        <f t="shared" si="244"/>
        <v>76.75</v>
      </c>
      <c r="AM77" s="8">
        <f t="shared" si="245"/>
        <v>76.75</v>
      </c>
      <c r="AN77" s="35">
        <v>5.1100000000000003</v>
      </c>
      <c r="AO77" s="35">
        <v>5.1100000000000003</v>
      </c>
      <c r="AP77" s="35">
        <v>392.07</v>
      </c>
      <c r="AQ77" s="53">
        <v>0</v>
      </c>
      <c r="AR77" s="53">
        <f>4/AD77</f>
        <v>0.18181818181818182</v>
      </c>
      <c r="AS77" s="53">
        <f>8/AD77</f>
        <v>0.36363636363636365</v>
      </c>
      <c r="AT77" s="53">
        <f>6/AD77</f>
        <v>0.27272727272727271</v>
      </c>
      <c r="AU77" s="53">
        <f>4/AD77</f>
        <v>0.18181818181818182</v>
      </c>
      <c r="AV77" s="35">
        <f>96.15+803.85+941.6</f>
        <v>1841.6</v>
      </c>
      <c r="AW77" s="51"/>
      <c r="AX77" s="53">
        <f>AW77/O77</f>
        <v>0</v>
      </c>
      <c r="AY77" s="35">
        <v>1.5</v>
      </c>
      <c r="AZ77" s="37" t="s">
        <v>397</v>
      </c>
      <c r="BA77" s="35" t="s">
        <v>99</v>
      </c>
      <c r="BB77" s="35"/>
      <c r="BC77" s="35"/>
      <c r="BD77" s="35"/>
      <c r="BE77" s="35"/>
      <c r="BF77" s="31"/>
      <c r="BG77" s="31"/>
      <c r="BH77" s="126">
        <v>40963</v>
      </c>
      <c r="BI77" s="126"/>
      <c r="BJ77" s="660">
        <v>40998</v>
      </c>
      <c r="BK77" s="660">
        <v>41177</v>
      </c>
      <c r="BL77" s="661"/>
      <c r="BM77" s="659">
        <f t="shared" si="246"/>
        <v>5.9666666666666668</v>
      </c>
      <c r="BN77" s="578"/>
      <c r="BO77" s="65"/>
      <c r="BP77" s="634">
        <v>41256</v>
      </c>
      <c r="BQ77" s="634"/>
      <c r="BR77" s="634"/>
      <c r="BS77" s="110">
        <f>DATE(YEAR(BP77),MONTH(BP77)+3,DAY(BP77))</f>
        <v>41346</v>
      </c>
      <c r="BT77" s="65"/>
      <c r="BU77" s="201">
        <v>41365</v>
      </c>
      <c r="BV77" s="201">
        <f t="shared" si="208"/>
        <v>42095</v>
      </c>
      <c r="BW77" s="439">
        <v>37724</v>
      </c>
      <c r="BX77" s="201" t="str">
        <f>IF(EL77&gt;BV75,"oui","non")</f>
        <v>non</v>
      </c>
      <c r="BY77" s="557">
        <f t="shared" si="271"/>
        <v>-10.466666666666667</v>
      </c>
      <c r="BZ77" s="439" t="str">
        <f t="shared" si="272"/>
        <v>0</v>
      </c>
      <c r="CA77" s="439">
        <f t="shared" si="273"/>
        <v>37724</v>
      </c>
      <c r="CB77" s="81"/>
      <c r="CC77" s="81"/>
      <c r="CD77" s="81"/>
      <c r="CE77" s="326" t="str">
        <f t="shared" si="229"/>
        <v>0</v>
      </c>
      <c r="CF77" s="81"/>
      <c r="CG77" s="81"/>
      <c r="CH77" s="326" t="str">
        <f t="shared" si="230"/>
        <v>0</v>
      </c>
      <c r="CI77" s="81"/>
      <c r="CJ77" s="81"/>
      <c r="CK77" s="326" t="str">
        <f t="shared" si="231"/>
        <v>0</v>
      </c>
      <c r="CL77" s="81"/>
      <c r="CM77" s="81"/>
      <c r="CN77" s="326" t="str">
        <f t="shared" si="232"/>
        <v>0</v>
      </c>
      <c r="CO77" s="83"/>
      <c r="CP77" s="365"/>
      <c r="CQ77" s="326" t="str">
        <f t="shared" si="247"/>
        <v>0</v>
      </c>
      <c r="CR77" s="292"/>
      <c r="CS77" s="159"/>
      <c r="CT77" s="81"/>
      <c r="CU77" s="159"/>
      <c r="CV77" s="326" t="str">
        <f t="shared" si="263"/>
        <v>0</v>
      </c>
      <c r="CW77" s="81"/>
      <c r="CX77" s="236">
        <v>41295</v>
      </c>
      <c r="CY77" s="230">
        <v>2013</v>
      </c>
      <c r="CZ77" s="285">
        <f t="shared" si="240"/>
        <v>3.9333333333333331</v>
      </c>
      <c r="DA77" s="326" t="str">
        <f t="shared" si="209"/>
        <v>0</v>
      </c>
      <c r="DB77" s="168">
        <v>14</v>
      </c>
      <c r="DC77" s="76">
        <f t="shared" si="210"/>
        <v>33</v>
      </c>
      <c r="DD77" s="214"/>
      <c r="DE77" s="213"/>
      <c r="DF77" s="448" t="str">
        <f t="shared" si="233"/>
        <v>0</v>
      </c>
      <c r="DG77" s="214"/>
      <c r="DH77" s="395"/>
      <c r="DI77" s="396" t="str">
        <f t="shared" si="212"/>
        <v>0</v>
      </c>
      <c r="DJ77" s="179"/>
      <c r="DK77" s="395"/>
      <c r="DL77" s="448" t="str">
        <f t="shared" si="214"/>
        <v>0</v>
      </c>
      <c r="DM77" s="213"/>
      <c r="DN77" s="214"/>
      <c r="DO77" s="448" t="str">
        <f t="shared" si="216"/>
        <v>0</v>
      </c>
      <c r="DP77" s="219"/>
      <c r="DQ77" s="219"/>
      <c r="DR77" s="448" t="str">
        <f t="shared" si="217"/>
        <v>0</v>
      </c>
      <c r="DS77" s="219"/>
      <c r="DT77" s="220"/>
      <c r="DU77" s="448" t="str">
        <f t="shared" si="219"/>
        <v>0</v>
      </c>
      <c r="DV77" s="214"/>
      <c r="DW77" s="214"/>
      <c r="DX77" s="448" t="str">
        <f t="shared" si="221"/>
        <v>0</v>
      </c>
      <c r="DY77" s="220"/>
      <c r="DZ77" s="220"/>
      <c r="EA77" s="220"/>
      <c r="EB77" s="293">
        <f t="shared" si="258"/>
        <v>41719</v>
      </c>
      <c r="EC77" s="238">
        <v>42326</v>
      </c>
      <c r="ED77" s="468">
        <f t="shared" si="248"/>
        <v>20.233333333333334</v>
      </c>
      <c r="EE77" s="752"/>
      <c r="EF77" s="238"/>
      <c r="EG77" s="753">
        <v>42338</v>
      </c>
      <c r="EH77" s="75" t="s">
        <v>105</v>
      </c>
      <c r="EI77" s="790" t="s">
        <v>105</v>
      </c>
      <c r="EJ77" s="293"/>
      <c r="EK77" s="533">
        <f t="shared" si="242"/>
        <v>41750</v>
      </c>
      <c r="EL77" s="238">
        <v>42409</v>
      </c>
      <c r="EM77" s="232">
        <v>2016</v>
      </c>
      <c r="EN77" s="465">
        <f t="shared" si="274"/>
        <v>21.966666666666665</v>
      </c>
      <c r="EO77" s="455">
        <f>106635.529075152/12</f>
        <v>8886.294089596</v>
      </c>
      <c r="EP77" s="213">
        <f t="shared" si="259"/>
        <v>195202.26016812545</v>
      </c>
      <c r="EQ77" s="75"/>
      <c r="ER77" s="349"/>
      <c r="ES77" s="454">
        <v>350449.67</v>
      </c>
      <c r="ET77" s="353">
        <v>125069</v>
      </c>
      <c r="EU77" s="353"/>
      <c r="EV77" s="353"/>
      <c r="EW77" s="483">
        <f t="shared" si="260"/>
        <v>0</v>
      </c>
      <c r="EX77" s="350"/>
      <c r="EY77" s="362" t="s">
        <v>529</v>
      </c>
      <c r="EZ77" s="350"/>
      <c r="FA77" s="350"/>
      <c r="FB77" s="126">
        <f t="shared" si="234"/>
        <v>731</v>
      </c>
      <c r="FC77" s="137">
        <v>42321</v>
      </c>
      <c r="FD77" s="137"/>
      <c r="FE77" s="137" t="s">
        <v>383</v>
      </c>
      <c r="FF77" s="137">
        <v>42348</v>
      </c>
      <c r="FG77" s="137">
        <v>42430</v>
      </c>
      <c r="FH77" s="137">
        <v>42869</v>
      </c>
      <c r="FI77" s="137">
        <f t="shared" si="201"/>
        <v>42692</v>
      </c>
      <c r="FJ77" s="444">
        <v>56767</v>
      </c>
      <c r="FK77" s="81">
        <v>42530</v>
      </c>
      <c r="FL77" s="81">
        <v>42531</v>
      </c>
      <c r="FM77" s="81"/>
      <c r="FN77" s="81" t="s">
        <v>105</v>
      </c>
      <c r="FO77" s="81">
        <v>42884</v>
      </c>
      <c r="FP77" s="81"/>
      <c r="FQ77" s="80"/>
      <c r="FR77" s="381" t="s">
        <v>384</v>
      </c>
      <c r="FS77" s="31" t="s">
        <v>295</v>
      </c>
      <c r="FT77" s="161">
        <v>42808</v>
      </c>
      <c r="FU77" s="161" t="s">
        <v>105</v>
      </c>
      <c r="FV77" s="161">
        <v>42947</v>
      </c>
      <c r="FW77" s="80"/>
      <c r="FX77" s="392">
        <v>3365389</v>
      </c>
      <c r="FY77" s="652">
        <f t="shared" si="249"/>
        <v>3789161</v>
      </c>
      <c r="FZ77" s="550">
        <f t="shared" si="264"/>
        <v>3789161</v>
      </c>
      <c r="GA77" s="500">
        <f t="shared" si="275"/>
        <v>3789161</v>
      </c>
      <c r="GB77" s="610">
        <f>GM77+GN77+GR77</f>
        <v>668000</v>
      </c>
      <c r="GC77" s="28">
        <f t="shared" si="250"/>
        <v>2244.0989043529762</v>
      </c>
      <c r="GD77" s="28">
        <f t="shared" si="261"/>
        <v>172234.59090909091</v>
      </c>
      <c r="GE77" s="45">
        <v>929819</v>
      </c>
      <c r="GF77" s="417"/>
      <c r="GG77" s="28">
        <f t="shared" si="252"/>
        <v>42264.5</v>
      </c>
      <c r="GH77" s="45">
        <f>+GI77+GJ77</f>
        <v>1895079</v>
      </c>
      <c r="GI77" s="59">
        <v>328778</v>
      </c>
      <c r="GJ77" s="59">
        <v>1566301</v>
      </c>
      <c r="GK77" s="407">
        <f t="shared" si="262"/>
        <v>86139.954545454544</v>
      </c>
      <c r="GL77" s="45">
        <v>0</v>
      </c>
      <c r="GM77" s="44">
        <v>558000</v>
      </c>
      <c r="GN77" s="44">
        <v>110000</v>
      </c>
      <c r="GO77" s="23">
        <f t="shared" si="251"/>
        <v>0.14726215117277941</v>
      </c>
      <c r="GP77" s="576"/>
      <c r="GQ77" s="576"/>
      <c r="GR77" s="44">
        <v>0</v>
      </c>
      <c r="GS77" s="28">
        <f t="shared" si="222"/>
        <v>25363.636363636364</v>
      </c>
      <c r="GT77" s="28">
        <f t="shared" si="223"/>
        <v>67628.136363636368</v>
      </c>
      <c r="GU77" s="682">
        <v>1214321.7850000001</v>
      </c>
      <c r="GV77" s="682">
        <v>440000</v>
      </c>
      <c r="GW77" s="680" t="e">
        <f>(#REF!+#REF!+GV77)/AD77</f>
        <v>#REF!</v>
      </c>
      <c r="GX77" s="682">
        <v>91493</v>
      </c>
      <c r="GY77" s="682">
        <f t="shared" si="224"/>
        <v>91786.909090909088</v>
      </c>
      <c r="GZ77" s="681">
        <f t="shared" si="276"/>
        <v>0.41754394468820605</v>
      </c>
      <c r="HA77" s="682">
        <v>167316.375</v>
      </c>
      <c r="HB77" s="791"/>
      <c r="HC77" s="45">
        <v>406263</v>
      </c>
      <c r="HD77" s="602"/>
      <c r="HE77" s="608">
        <f t="shared" si="225"/>
        <v>0</v>
      </c>
      <c r="HF77" s="616">
        <f t="shared" si="226"/>
        <v>3789161</v>
      </c>
      <c r="HG77" s="602">
        <f ca="1">IF(EE77&lt;DATEDIF(TODAY(),$HG$1,"M"),HF77,(HF77/EE77*DATEDIF(TODAY(),$HG$1,"M")))</f>
        <v>3789161</v>
      </c>
      <c r="HH77" s="602"/>
      <c r="HI77" s="602"/>
      <c r="HJ77" s="602">
        <f t="shared" si="257"/>
        <v>668000</v>
      </c>
      <c r="HK77" s="609">
        <f t="shared" si="253"/>
        <v>0</v>
      </c>
      <c r="HL77" s="609"/>
      <c r="HM77" s="673"/>
      <c r="HN77" s="62"/>
      <c r="HO77" s="673"/>
      <c r="HP77" s="673">
        <f t="shared" si="236"/>
        <v>0</v>
      </c>
      <c r="HQ77" s="539"/>
      <c r="HR77" s="539"/>
      <c r="HS77" s="539"/>
      <c r="HT77" s="539"/>
      <c r="HU77" s="539"/>
      <c r="HV77" s="673"/>
      <c r="HW77" s="673">
        <f t="shared" si="199"/>
        <v>0</v>
      </c>
      <c r="HX77" s="539"/>
    </row>
    <row r="78" spans="1:232" ht="28.5" customHeight="1">
      <c r="A78" s="495" t="s">
        <v>784</v>
      </c>
      <c r="B78" s="31" t="s">
        <v>21</v>
      </c>
      <c r="C78" s="31" t="s">
        <v>90</v>
      </c>
      <c r="D78" s="31">
        <v>2019</v>
      </c>
      <c r="E78" s="31" t="s">
        <v>692</v>
      </c>
      <c r="F78" s="31" t="s">
        <v>40</v>
      </c>
      <c r="G78" s="31" t="s">
        <v>143</v>
      </c>
      <c r="H78" s="33" t="s">
        <v>140</v>
      </c>
      <c r="I78" s="31"/>
      <c r="J78" s="31" t="s">
        <v>613</v>
      </c>
      <c r="K78" s="180"/>
      <c r="L78" s="114"/>
      <c r="M78" s="115"/>
      <c r="N78" s="116"/>
      <c r="O78" s="142">
        <f>4764/66*AD78</f>
        <v>3320.3636363636365</v>
      </c>
      <c r="P78" s="142">
        <f>860000/66*AD78</f>
        <v>599393.93939393933</v>
      </c>
      <c r="Q78" s="142">
        <f>860000/66*AD78</f>
        <v>599393.93939393933</v>
      </c>
      <c r="R78" s="142">
        <f t="shared" si="265"/>
        <v>13030.303030303028</v>
      </c>
      <c r="S78" s="142">
        <f t="shared" si="266"/>
        <v>180.52057094878251</v>
      </c>
      <c r="T78" s="148">
        <f t="shared" si="267"/>
        <v>180.52057094878251</v>
      </c>
      <c r="U78" s="148">
        <f t="shared" si="268"/>
        <v>144.6051037852323</v>
      </c>
      <c r="V78" s="148">
        <f t="shared" si="269"/>
        <v>13030.303030303028</v>
      </c>
      <c r="W78" s="142">
        <f t="shared" si="270"/>
        <v>72.181818181818187</v>
      </c>
      <c r="X78" s="143"/>
      <c r="Y78" s="525">
        <f t="shared" si="206"/>
        <v>138.53904282115869</v>
      </c>
      <c r="Z78" s="143" t="s">
        <v>153</v>
      </c>
      <c r="AA78" s="143">
        <v>580</v>
      </c>
      <c r="AB78" s="144"/>
      <c r="AC78" s="31" t="s">
        <v>9</v>
      </c>
      <c r="AD78" s="493">
        <f t="shared" si="243"/>
        <v>46</v>
      </c>
      <c r="AE78" s="493">
        <f t="shared" si="207"/>
        <v>46</v>
      </c>
      <c r="AF78" s="31">
        <v>46</v>
      </c>
      <c r="AG78" s="42"/>
      <c r="AH78" s="42"/>
      <c r="AI78" s="42"/>
      <c r="AJ78" s="797">
        <v>3552.52</v>
      </c>
      <c r="AK78" s="276">
        <v>4145.04</v>
      </c>
      <c r="AL78" s="586">
        <f t="shared" si="244"/>
        <v>77.228695652173911</v>
      </c>
      <c r="AM78" s="8">
        <f t="shared" si="245"/>
        <v>90.109565217391307</v>
      </c>
      <c r="AN78" s="35">
        <v>7.58</v>
      </c>
      <c r="AO78" s="35">
        <v>6.5</v>
      </c>
      <c r="AP78" s="35">
        <v>585.70000000000005</v>
      </c>
      <c r="AQ78" s="53"/>
      <c r="AR78" s="53"/>
      <c r="AS78" s="53">
        <f>30/AD78</f>
        <v>0.65217391304347827</v>
      </c>
      <c r="AT78" s="53">
        <f>16/AD78</f>
        <v>0.34782608695652173</v>
      </c>
      <c r="AU78" s="53"/>
      <c r="AV78" s="35"/>
      <c r="AW78" s="51" t="s">
        <v>133</v>
      </c>
      <c r="AX78" s="51" t="s">
        <v>133</v>
      </c>
      <c r="AY78" s="35"/>
      <c r="AZ78" s="34" t="s">
        <v>398</v>
      </c>
      <c r="BA78" s="31" t="s">
        <v>98</v>
      </c>
      <c r="BB78" s="160">
        <v>8484480.0359200016</v>
      </c>
      <c r="BC78" s="504">
        <f>BB78/AJ78</f>
        <v>2388.2990203911595</v>
      </c>
      <c r="BD78" s="388">
        <f>BB78/AK78</f>
        <v>2046.899435450563</v>
      </c>
      <c r="BE78" s="392">
        <f>BB78/AD78</f>
        <v>184445.21817217395</v>
      </c>
      <c r="BF78" s="165">
        <v>43426</v>
      </c>
      <c r="BG78" s="165"/>
      <c r="BH78" s="73">
        <v>43445</v>
      </c>
      <c r="BI78" s="126"/>
      <c r="BJ78" s="660">
        <v>43552</v>
      </c>
      <c r="BK78" s="660">
        <v>43745</v>
      </c>
      <c r="BL78" s="661">
        <v>43753</v>
      </c>
      <c r="BM78" s="659">
        <f t="shared" si="246"/>
        <v>6.4333333333333336</v>
      </c>
      <c r="BN78" s="578" t="s">
        <v>235</v>
      </c>
      <c r="BO78" s="110">
        <v>43742</v>
      </c>
      <c r="BP78" s="139">
        <v>43784</v>
      </c>
      <c r="BQ78" s="654">
        <f t="shared" ref="BQ78:BQ87" si="277">(DATEDIF(BO78,BP78,"d"))/30</f>
        <v>1.4</v>
      </c>
      <c r="BR78" s="638">
        <v>103389</v>
      </c>
      <c r="BS78" s="110"/>
      <c r="BT78" s="110">
        <v>43794</v>
      </c>
      <c r="BU78" s="202"/>
      <c r="BV78" s="201">
        <f t="shared" si="208"/>
        <v>731</v>
      </c>
      <c r="BW78" s="439"/>
      <c r="BX78" s="201" t="str">
        <f>IF(EL78&gt;BV78,"oui","non")</f>
        <v>oui</v>
      </c>
      <c r="BY78" s="557">
        <f t="shared" si="271"/>
        <v>-1463.4666666666667</v>
      </c>
      <c r="BZ78" s="439">
        <f t="shared" si="272"/>
        <v>0</v>
      </c>
      <c r="CA78" s="439">
        <f t="shared" si="273"/>
        <v>0</v>
      </c>
      <c r="CB78" s="339"/>
      <c r="CC78" s="341"/>
      <c r="CD78" s="341"/>
      <c r="CE78" s="343" t="str">
        <f t="shared" si="229"/>
        <v>0</v>
      </c>
      <c r="CF78" s="341"/>
      <c r="CG78" s="341"/>
      <c r="CH78" s="343" t="str">
        <f t="shared" si="230"/>
        <v>0</v>
      </c>
      <c r="CI78" s="341"/>
      <c r="CJ78" s="341"/>
      <c r="CK78" s="343" t="str">
        <f t="shared" si="231"/>
        <v>0</v>
      </c>
      <c r="CL78" s="341"/>
      <c r="CM78" s="341"/>
      <c r="CN78" s="343" t="str">
        <f t="shared" si="232"/>
        <v>0</v>
      </c>
      <c r="CO78" s="344"/>
      <c r="CP78" s="341"/>
      <c r="CQ78" s="343" t="str">
        <f t="shared" si="247"/>
        <v>0</v>
      </c>
      <c r="CR78" s="290"/>
      <c r="CS78" s="345"/>
      <c r="CT78" s="330"/>
      <c r="CU78" s="331"/>
      <c r="CV78" s="332" t="str">
        <f t="shared" si="263"/>
        <v>0</v>
      </c>
      <c r="CW78" s="330"/>
      <c r="CX78" s="449">
        <v>43966</v>
      </c>
      <c r="CY78" s="233"/>
      <c r="CZ78" s="284">
        <f t="shared" si="240"/>
        <v>7.3666666666666663</v>
      </c>
      <c r="DA78" s="332" t="str">
        <f t="shared" si="209"/>
        <v>0</v>
      </c>
      <c r="DB78" s="450">
        <v>21</v>
      </c>
      <c r="DC78" s="169">
        <f t="shared" si="210"/>
        <v>22</v>
      </c>
      <c r="DD78" s="330"/>
      <c r="DE78" s="335">
        <f t="shared" ref="DE78:DE83" ca="1" si="278">IF(DD78&lt;TODAY(),TODAY(),DD78)</f>
        <v>43950</v>
      </c>
      <c r="DF78" s="332" t="str">
        <f t="shared" ca="1" si="233"/>
        <v>0</v>
      </c>
      <c r="DG78" s="330"/>
      <c r="DH78" s="348">
        <f t="shared" ref="DH78:DH83" ca="1" si="279">IF(DG78&lt;TODAY(),TODAY(),DG78)</f>
        <v>43950</v>
      </c>
      <c r="DI78" s="333" t="str">
        <f t="shared" ca="1" si="212"/>
        <v>0</v>
      </c>
      <c r="DJ78" s="334"/>
      <c r="DK78" s="348">
        <f t="shared" ref="DK78:DK83" ca="1" si="280">IF(DJ78&lt;TODAY(),TODAY(),DJ78)</f>
        <v>43950</v>
      </c>
      <c r="DL78" s="332" t="str">
        <f t="shared" ca="1" si="214"/>
        <v>0</v>
      </c>
      <c r="DM78" s="335"/>
      <c r="DN78" s="335">
        <f t="shared" ref="DN78:DN83" ca="1" si="281">IF(DM78&lt;TODAY(),TODAY(),DM78)</f>
        <v>43950</v>
      </c>
      <c r="DO78" s="332" t="str">
        <f t="shared" ca="1" si="216"/>
        <v>0</v>
      </c>
      <c r="DP78" s="336"/>
      <c r="DQ78" s="336"/>
      <c r="DR78" s="332" t="str">
        <f t="shared" si="217"/>
        <v>0</v>
      </c>
      <c r="DS78" s="335"/>
      <c r="DT78" s="335">
        <f t="shared" ref="DT78:DT83" ca="1" si="282">IF(DS78&lt;TODAY(),TODAY(),DS78)</f>
        <v>43950</v>
      </c>
      <c r="DU78" s="332" t="str">
        <f t="shared" ca="1" si="219"/>
        <v>0</v>
      </c>
      <c r="DV78" s="335"/>
      <c r="DW78" s="335">
        <f t="shared" ref="DW78:DW83" ca="1" si="283">IF(DV78&lt;TODAY(),TODAY(),DV78)</f>
        <v>43950</v>
      </c>
      <c r="DX78" s="332" t="str">
        <f t="shared" ca="1" si="221"/>
        <v>0</v>
      </c>
      <c r="DY78" s="335"/>
      <c r="DZ78" s="335"/>
      <c r="EA78" s="335"/>
      <c r="EB78" s="477">
        <f t="shared" si="258"/>
        <v>44607</v>
      </c>
      <c r="EC78" s="476">
        <f>DATE(YEAR(EB78),MONTH(EB78)+1,DAY(EB78))</f>
        <v>44635</v>
      </c>
      <c r="ED78" s="473">
        <f t="shared" si="248"/>
        <v>0.93333333333333335</v>
      </c>
      <c r="EE78" s="605">
        <f t="shared" ref="EE78:EE83" ca="1" si="284">IF(((EC78-TODAY())/30)&lt;0,0,(EC78-TODAY())/30)</f>
        <v>22.833333333333332</v>
      </c>
      <c r="EF78" s="476">
        <f t="shared" ref="EF78:EF83" ca="1" si="285">DATE(YEAR(DH78)+2,MONTH(DH78),DAY(DH78))</f>
        <v>44680</v>
      </c>
      <c r="EG78" s="535"/>
      <c r="EH78" s="526"/>
      <c r="EI78" s="536"/>
      <c r="EJ78" s="295"/>
      <c r="EK78" s="534">
        <f t="shared" si="242"/>
        <v>44635</v>
      </c>
      <c r="EL78" s="476">
        <f>DATE(YEAR(EC78),MONTH(EC78),DAY(EC78))</f>
        <v>44635</v>
      </c>
      <c r="EM78" s="368"/>
      <c r="EN78" s="471">
        <f t="shared" si="274"/>
        <v>0</v>
      </c>
      <c r="EO78" s="461"/>
      <c r="EP78" s="173">
        <f t="shared" si="259"/>
        <v>0</v>
      </c>
      <c r="EQ78" s="77"/>
      <c r="ER78" s="353"/>
      <c r="ES78" s="353">
        <v>0</v>
      </c>
      <c r="ET78" s="353"/>
      <c r="EU78" s="353"/>
      <c r="EV78" s="353"/>
      <c r="EW78" s="483">
        <f t="shared" si="260"/>
        <v>0</v>
      </c>
      <c r="EX78" s="350"/>
      <c r="EY78" s="362"/>
      <c r="EZ78" s="350"/>
      <c r="FA78" s="31" t="s">
        <v>830</v>
      </c>
      <c r="FB78" s="126">
        <f t="shared" ca="1" si="234"/>
        <v>44680</v>
      </c>
      <c r="FC78" s="80"/>
      <c r="FD78" s="80"/>
      <c r="FE78" s="80"/>
      <c r="FF78" s="80"/>
      <c r="FG78" s="80"/>
      <c r="FH78" s="31"/>
      <c r="FI78" s="194">
        <f t="shared" si="201"/>
        <v>45000</v>
      </c>
      <c r="FJ78" s="194"/>
      <c r="FK78" s="31"/>
      <c r="FL78" s="31"/>
      <c r="FM78" s="31"/>
      <c r="FN78" s="31"/>
      <c r="FO78" s="31"/>
      <c r="FP78" s="31"/>
      <c r="FQ78" s="31"/>
      <c r="FR78" s="31"/>
      <c r="FS78" s="31"/>
      <c r="FT78" s="31"/>
      <c r="FU78" s="31"/>
      <c r="FV78" s="31"/>
      <c r="FW78" s="31"/>
      <c r="FX78" s="529"/>
      <c r="FY78" s="652">
        <f t="shared" si="249"/>
        <v>8895103.3508167807</v>
      </c>
      <c r="FZ78" s="550">
        <f t="shared" si="264"/>
        <v>8895103.3508167807</v>
      </c>
      <c r="GA78" s="45">
        <f t="shared" si="275"/>
        <v>8895103.3508167807</v>
      </c>
      <c r="GB78" s="602">
        <f t="shared" ref="GB78:GB83" si="286">GM78+GN78+GR78+GV78</f>
        <v>1150000</v>
      </c>
      <c r="GC78" s="28">
        <f t="shared" si="250"/>
        <v>2145.9632116497742</v>
      </c>
      <c r="GD78" s="28">
        <f t="shared" si="261"/>
        <v>193371.81197427784</v>
      </c>
      <c r="GE78" s="775">
        <v>2703600.4813463944</v>
      </c>
      <c r="GF78" s="417">
        <v>2703600</v>
      </c>
      <c r="GG78" s="16">
        <f t="shared" si="252"/>
        <v>58773.923507530315</v>
      </c>
      <c r="GH78" s="49">
        <f>GI78+GJ78</f>
        <v>5041502.8694703858</v>
      </c>
      <c r="GI78" s="198">
        <v>908634.83638869505</v>
      </c>
      <c r="GJ78" s="198">
        <v>4132868.0330816912</v>
      </c>
      <c r="GK78" s="407">
        <f t="shared" si="262"/>
        <v>109597.88846674752</v>
      </c>
      <c r="GL78" s="623"/>
      <c r="GM78" s="699">
        <v>1150000</v>
      </c>
      <c r="GN78" s="45"/>
      <c r="GO78" s="23">
        <f t="shared" si="251"/>
        <v>0.12928461364020047</v>
      </c>
      <c r="GP78" s="45"/>
      <c r="GQ78" s="45"/>
      <c r="GR78" s="45"/>
      <c r="GS78" s="28">
        <f t="shared" si="222"/>
        <v>25000</v>
      </c>
      <c r="GT78" s="28">
        <f t="shared" si="223"/>
        <v>83773.923507530315</v>
      </c>
      <c r="GU78" s="682"/>
      <c r="GV78" s="682"/>
      <c r="GW78" s="680">
        <f>(GE78+GM78+GV78)/AD78</f>
        <v>83773.923507530315</v>
      </c>
      <c r="GX78" s="682"/>
      <c r="GY78" s="682">
        <f t="shared" si="224"/>
        <v>83773.923507530315</v>
      </c>
      <c r="GZ78" s="681">
        <f t="shared" si="276"/>
        <v>0.43322717335179056</v>
      </c>
      <c r="HA78" s="682"/>
      <c r="HB78" s="682"/>
      <c r="HC78" s="45">
        <f>ES78</f>
        <v>0</v>
      </c>
      <c r="HD78" s="602">
        <v>95905</v>
      </c>
      <c r="HE78" s="608">
        <f t="shared" si="225"/>
        <v>1.0781774670576892E-2</v>
      </c>
      <c r="HF78" s="602">
        <f t="shared" si="226"/>
        <v>8799198.3508167807</v>
      </c>
      <c r="HG78" s="602">
        <f ca="1">IF(EE78&lt;DATEDIF(TODAY(),$HG$1,"M"),HF78,(HF78/EE78*DATEDIF(TODAY(),$HG$1,"M")))*0</f>
        <v>0</v>
      </c>
      <c r="HH78" s="608">
        <f t="shared" ref="HH78:HH83" ca="1" si="287">(HD78+HG78)/FZ78</f>
        <v>1.0781774670576892E-2</v>
      </c>
      <c r="HI78" s="602"/>
      <c r="HJ78" s="602">
        <f t="shared" si="257"/>
        <v>1150000</v>
      </c>
      <c r="HK78" s="602">
        <f t="shared" si="253"/>
        <v>0</v>
      </c>
      <c r="HL78" s="602"/>
      <c r="HM78" s="673"/>
      <c r="HN78" s="62"/>
      <c r="HO78" s="673"/>
      <c r="HP78" s="673">
        <f t="shared" si="236"/>
        <v>0</v>
      </c>
      <c r="HQ78" s="539"/>
      <c r="HR78" s="539"/>
      <c r="HS78" s="539"/>
      <c r="HT78" s="539"/>
      <c r="HU78" s="539"/>
      <c r="HV78" s="673"/>
      <c r="HW78" s="673">
        <f t="shared" si="199"/>
        <v>0</v>
      </c>
      <c r="HX78" s="539"/>
    </row>
    <row r="79" spans="1:232" ht="31.5" customHeight="1">
      <c r="A79" s="495" t="s">
        <v>785</v>
      </c>
      <c r="B79" s="31" t="s">
        <v>21</v>
      </c>
      <c r="C79" s="31" t="s">
        <v>90</v>
      </c>
      <c r="D79" s="31">
        <v>2019</v>
      </c>
      <c r="E79" s="31" t="s">
        <v>692</v>
      </c>
      <c r="F79" s="31" t="s">
        <v>40</v>
      </c>
      <c r="G79" s="74"/>
      <c r="H79" s="33" t="s">
        <v>569</v>
      </c>
      <c r="I79" s="31"/>
      <c r="J79" s="31" t="s">
        <v>613</v>
      </c>
      <c r="K79" s="180"/>
      <c r="L79" s="114"/>
      <c r="M79" s="115"/>
      <c r="N79" s="116"/>
      <c r="O79" s="142">
        <f>4764/66*AD79</f>
        <v>1443.6363636363637</v>
      </c>
      <c r="P79" s="142">
        <f>860000/66*AD79</f>
        <v>260606.06060606061</v>
      </c>
      <c r="Q79" s="142">
        <f>860000/66*AD79</f>
        <v>260606.06060606061</v>
      </c>
      <c r="R79" s="142">
        <f t="shared" si="265"/>
        <v>13030.30303030303</v>
      </c>
      <c r="S79" s="142">
        <f t="shared" si="266"/>
        <v>180.52057094878253</v>
      </c>
      <c r="T79" s="148">
        <f t="shared" si="267"/>
        <v>180.52057094878253</v>
      </c>
      <c r="U79" s="148">
        <f t="shared" si="268"/>
        <v>207.98568284601805</v>
      </c>
      <c r="V79" s="148">
        <f t="shared" si="269"/>
        <v>13030.30303030303</v>
      </c>
      <c r="W79" s="142">
        <f t="shared" si="270"/>
        <v>72.181818181818187</v>
      </c>
      <c r="X79" s="143"/>
      <c r="Y79" s="525">
        <f t="shared" si="206"/>
        <v>138.53904282115869</v>
      </c>
      <c r="Z79" s="143" t="s">
        <v>153</v>
      </c>
      <c r="AA79" s="143">
        <v>580</v>
      </c>
      <c r="AB79" s="144"/>
      <c r="AC79" s="31" t="s">
        <v>10</v>
      </c>
      <c r="AD79" s="493">
        <f t="shared" si="243"/>
        <v>20</v>
      </c>
      <c r="AE79" s="493">
        <f t="shared" si="207"/>
        <v>20</v>
      </c>
      <c r="AF79" s="42"/>
      <c r="AG79" s="31">
        <v>20</v>
      </c>
      <c r="AH79" s="42"/>
      <c r="AI79" s="42"/>
      <c r="AJ79" s="797">
        <v>920.8</v>
      </c>
      <c r="AK79" s="276">
        <v>1253</v>
      </c>
      <c r="AL79" s="586">
        <f t="shared" si="244"/>
        <v>46.04</v>
      </c>
      <c r="AM79" s="8">
        <f t="shared" si="245"/>
        <v>62.65</v>
      </c>
      <c r="AN79" s="35">
        <v>7.87</v>
      </c>
      <c r="AO79" s="35">
        <v>5.78</v>
      </c>
      <c r="AP79" s="35">
        <v>362.32</v>
      </c>
      <c r="AQ79" s="53"/>
      <c r="AR79" s="53">
        <f>20/AD79</f>
        <v>1</v>
      </c>
      <c r="AS79" s="53"/>
      <c r="AT79" s="53"/>
      <c r="AU79" s="53"/>
      <c r="AV79" s="35"/>
      <c r="AW79" s="51" t="s">
        <v>133</v>
      </c>
      <c r="AX79" s="51" t="s">
        <v>133</v>
      </c>
      <c r="AY79" s="35"/>
      <c r="AZ79" s="34" t="s">
        <v>398</v>
      </c>
      <c r="BA79" s="31" t="s">
        <v>98</v>
      </c>
      <c r="BB79" s="160">
        <v>2121120.0089800004</v>
      </c>
      <c r="BC79" s="504">
        <f>BB79/AJ79</f>
        <v>2303.5621296481327</v>
      </c>
      <c r="BD79" s="388">
        <f>BB79/AK79</f>
        <v>1692.8332074860339</v>
      </c>
      <c r="BE79" s="392">
        <f>BB79/AD79</f>
        <v>106056.00044900001</v>
      </c>
      <c r="BF79" s="165">
        <v>43426</v>
      </c>
      <c r="BG79" s="165"/>
      <c r="BH79" s="73">
        <v>43445</v>
      </c>
      <c r="BI79" s="126"/>
      <c r="BJ79" s="660">
        <v>43552</v>
      </c>
      <c r="BK79" s="660">
        <v>43745</v>
      </c>
      <c r="BL79" s="661">
        <v>43753</v>
      </c>
      <c r="BM79" s="659">
        <f t="shared" si="246"/>
        <v>6.4333333333333336</v>
      </c>
      <c r="BN79" s="578" t="s">
        <v>235</v>
      </c>
      <c r="BO79" s="110">
        <v>43742</v>
      </c>
      <c r="BP79" s="139">
        <v>43784</v>
      </c>
      <c r="BQ79" s="654">
        <f t="shared" si="277"/>
        <v>1.4</v>
      </c>
      <c r="BR79" s="638">
        <v>103393</v>
      </c>
      <c r="BS79" s="110"/>
      <c r="BT79" s="110">
        <v>43794</v>
      </c>
      <c r="BU79" s="202"/>
      <c r="BV79" s="201">
        <f t="shared" si="208"/>
        <v>731</v>
      </c>
      <c r="BW79" s="439"/>
      <c r="BX79" s="201" t="str">
        <f>IF(EL79&gt;BV79,"oui","non")</f>
        <v>oui</v>
      </c>
      <c r="BY79" s="557">
        <f t="shared" si="271"/>
        <v>-1463.4666666666667</v>
      </c>
      <c r="BZ79" s="439">
        <f t="shared" si="272"/>
        <v>0</v>
      </c>
      <c r="CA79" s="439">
        <f t="shared" si="273"/>
        <v>0</v>
      </c>
      <c r="CB79" s="339"/>
      <c r="CC79" s="341"/>
      <c r="CD79" s="341"/>
      <c r="CE79" s="343" t="str">
        <f t="shared" si="229"/>
        <v>0</v>
      </c>
      <c r="CF79" s="341"/>
      <c r="CG79" s="341"/>
      <c r="CH79" s="343" t="str">
        <f t="shared" si="230"/>
        <v>0</v>
      </c>
      <c r="CI79" s="341"/>
      <c r="CJ79" s="341"/>
      <c r="CK79" s="343" t="str">
        <f t="shared" si="231"/>
        <v>0</v>
      </c>
      <c r="CL79" s="341"/>
      <c r="CM79" s="341"/>
      <c r="CN79" s="343" t="str">
        <f t="shared" si="232"/>
        <v>0</v>
      </c>
      <c r="CO79" s="341"/>
      <c r="CP79" s="341"/>
      <c r="CQ79" s="343" t="str">
        <f t="shared" si="247"/>
        <v>0</v>
      </c>
      <c r="CR79" s="290"/>
      <c r="CS79" s="345"/>
      <c r="CT79" s="330"/>
      <c r="CU79" s="331"/>
      <c r="CV79" s="332" t="str">
        <f t="shared" si="263"/>
        <v>0</v>
      </c>
      <c r="CW79" s="330"/>
      <c r="CX79" s="449">
        <v>43966</v>
      </c>
      <c r="CY79" s="233"/>
      <c r="CZ79" s="284">
        <f t="shared" si="240"/>
        <v>7.3666666666666663</v>
      </c>
      <c r="DA79" s="332" t="str">
        <f t="shared" si="209"/>
        <v>0</v>
      </c>
      <c r="DB79" s="450">
        <v>21</v>
      </c>
      <c r="DC79" s="169">
        <f t="shared" si="210"/>
        <v>22</v>
      </c>
      <c r="DD79" s="330"/>
      <c r="DE79" s="335">
        <f t="shared" ca="1" si="278"/>
        <v>43950</v>
      </c>
      <c r="DF79" s="332" t="str">
        <f t="shared" ca="1" si="233"/>
        <v>0</v>
      </c>
      <c r="DG79" s="330"/>
      <c r="DH79" s="348">
        <f t="shared" ca="1" si="279"/>
        <v>43950</v>
      </c>
      <c r="DI79" s="333" t="str">
        <f t="shared" ca="1" si="212"/>
        <v>0</v>
      </c>
      <c r="DJ79" s="334"/>
      <c r="DK79" s="348">
        <f t="shared" ca="1" si="280"/>
        <v>43950</v>
      </c>
      <c r="DL79" s="332" t="str">
        <f t="shared" ca="1" si="214"/>
        <v>0</v>
      </c>
      <c r="DM79" s="335"/>
      <c r="DN79" s="335">
        <f t="shared" ca="1" si="281"/>
        <v>43950</v>
      </c>
      <c r="DO79" s="332" t="str">
        <f t="shared" ca="1" si="216"/>
        <v>0</v>
      </c>
      <c r="DP79" s="336"/>
      <c r="DQ79" s="336"/>
      <c r="DR79" s="332" t="str">
        <f t="shared" si="217"/>
        <v>0</v>
      </c>
      <c r="DS79" s="335"/>
      <c r="DT79" s="335">
        <f t="shared" ca="1" si="282"/>
        <v>43950</v>
      </c>
      <c r="DU79" s="332" t="str">
        <f t="shared" ca="1" si="219"/>
        <v>0</v>
      </c>
      <c r="DV79" s="335"/>
      <c r="DW79" s="335">
        <f t="shared" ca="1" si="283"/>
        <v>43950</v>
      </c>
      <c r="DX79" s="332" t="str">
        <f t="shared" ca="1" si="221"/>
        <v>0</v>
      </c>
      <c r="DY79" s="335"/>
      <c r="DZ79" s="335"/>
      <c r="EA79" s="335"/>
      <c r="EB79" s="477">
        <f t="shared" si="258"/>
        <v>44607</v>
      </c>
      <c r="EC79" s="476">
        <f>DATE(YEAR(EB79),MONTH(EB79)+1,DAY(EB79))</f>
        <v>44635</v>
      </c>
      <c r="ED79" s="473">
        <f t="shared" si="248"/>
        <v>0.93333333333333335</v>
      </c>
      <c r="EE79" s="605">
        <f t="shared" ca="1" si="284"/>
        <v>22.833333333333332</v>
      </c>
      <c r="EF79" s="476">
        <f t="shared" ca="1" si="285"/>
        <v>44680</v>
      </c>
      <c r="EG79" s="535"/>
      <c r="EH79" s="526"/>
      <c r="EI79" s="536"/>
      <c r="EJ79" s="295"/>
      <c r="EK79" s="534">
        <f t="shared" si="242"/>
        <v>44635</v>
      </c>
      <c r="EL79" s="476">
        <f>DATE(YEAR(EC79),MONTH(EC79),DAY(EC79))</f>
        <v>44635</v>
      </c>
      <c r="EM79" s="368"/>
      <c r="EN79" s="471">
        <f t="shared" si="274"/>
        <v>0</v>
      </c>
      <c r="EO79" s="461"/>
      <c r="EP79" s="173">
        <f t="shared" si="259"/>
        <v>0</v>
      </c>
      <c r="EQ79" s="77"/>
      <c r="ER79" s="353"/>
      <c r="ES79" s="353">
        <v>0</v>
      </c>
      <c r="ET79" s="353"/>
      <c r="EU79" s="353"/>
      <c r="EV79" s="353"/>
      <c r="EW79" s="483">
        <f t="shared" si="260"/>
        <v>0</v>
      </c>
      <c r="EX79" s="350"/>
      <c r="EY79" s="362"/>
      <c r="EZ79" s="350"/>
      <c r="FA79" s="31" t="s">
        <v>830</v>
      </c>
      <c r="FB79" s="126">
        <f t="shared" ca="1" si="234"/>
        <v>44680</v>
      </c>
      <c r="FC79" s="80"/>
      <c r="FD79" s="80"/>
      <c r="FE79" s="80"/>
      <c r="FF79" s="80"/>
      <c r="FG79" s="80"/>
      <c r="FH79" s="31"/>
      <c r="FI79" s="194">
        <f t="shared" si="201"/>
        <v>45000</v>
      </c>
      <c r="FJ79" s="194"/>
      <c r="FK79" s="31"/>
      <c r="FL79" s="31"/>
      <c r="FM79" s="31"/>
      <c r="FN79" s="31"/>
      <c r="FO79" s="31"/>
      <c r="FP79" s="31"/>
      <c r="FQ79" s="31"/>
      <c r="FR79" s="31"/>
      <c r="FS79" s="31"/>
      <c r="FT79" s="31"/>
      <c r="FU79" s="31"/>
      <c r="FV79" s="31"/>
      <c r="FW79" s="31"/>
      <c r="FX79" s="529"/>
      <c r="FY79" s="652">
        <f t="shared" si="249"/>
        <v>2229074.8265152671</v>
      </c>
      <c r="FZ79" s="550">
        <f t="shared" si="264"/>
        <v>2229074.8265152671</v>
      </c>
      <c r="GA79" s="45">
        <f t="shared" si="275"/>
        <v>2229074.8265152671</v>
      </c>
      <c r="GB79" s="602">
        <f t="shared" si="286"/>
        <v>600000</v>
      </c>
      <c r="GC79" s="28">
        <f t="shared" si="250"/>
        <v>1778.9902845293434</v>
      </c>
      <c r="GD79" s="28">
        <f t="shared" si="261"/>
        <v>111453.74132576336</v>
      </c>
      <c r="GE79" s="775">
        <v>564878.50114207214</v>
      </c>
      <c r="GF79" s="417">
        <v>564877.53220060014</v>
      </c>
      <c r="GG79" s="28">
        <f t="shared" si="252"/>
        <v>28243.925057103606</v>
      </c>
      <c r="GH79" s="49">
        <f>GI79+GJ79</f>
        <v>1064196.3253731951</v>
      </c>
      <c r="GI79" s="198">
        <v>191345.32537319505</v>
      </c>
      <c r="GJ79" s="198">
        <v>872851</v>
      </c>
      <c r="GK79" s="407">
        <f t="shared" si="262"/>
        <v>53209.816268659757</v>
      </c>
      <c r="GL79" s="623"/>
      <c r="GM79" s="699">
        <v>600000</v>
      </c>
      <c r="GN79" s="45"/>
      <c r="GO79" s="23">
        <f t="shared" si="251"/>
        <v>0.26916996812439242</v>
      </c>
      <c r="GP79" s="60"/>
      <c r="GQ79" s="60"/>
      <c r="GR79" s="45"/>
      <c r="GS79" s="28">
        <f t="shared" si="222"/>
        <v>30000</v>
      </c>
      <c r="GT79" s="28">
        <f t="shared" si="223"/>
        <v>58243.925057103603</v>
      </c>
      <c r="GU79" s="682"/>
      <c r="GV79" s="682"/>
      <c r="GW79" s="680">
        <f>(GE79+GM79+GV79)/AD79</f>
        <v>58243.925057103603</v>
      </c>
      <c r="GX79" s="682"/>
      <c r="GY79" s="682">
        <f t="shared" si="224"/>
        <v>58243.925057103603</v>
      </c>
      <c r="GZ79" s="681">
        <f t="shared" si="276"/>
        <v>0.52258384836866922</v>
      </c>
      <c r="HA79" s="682"/>
      <c r="HB79" s="682"/>
      <c r="HC79" s="45">
        <f>ES79</f>
        <v>0</v>
      </c>
      <c r="HD79" s="442"/>
      <c r="HE79" s="608">
        <f t="shared" si="225"/>
        <v>0</v>
      </c>
      <c r="HF79" s="602">
        <f t="shared" si="226"/>
        <v>2229074.8265152671</v>
      </c>
      <c r="HG79" s="602">
        <f ca="1">IF(EE79&lt;DATEDIF(TODAY(),$HG$1,"M"),HF79,(HF79/EE79*DATEDIF(TODAY(),$HG$1,"M")))*0</f>
        <v>0</v>
      </c>
      <c r="HH79" s="608">
        <f t="shared" ca="1" si="287"/>
        <v>0</v>
      </c>
      <c r="HI79" s="602"/>
      <c r="HJ79" s="602">
        <f t="shared" si="257"/>
        <v>600000</v>
      </c>
      <c r="HK79" s="602">
        <f t="shared" si="253"/>
        <v>0</v>
      </c>
      <c r="HL79" s="602"/>
      <c r="HM79" s="673"/>
      <c r="HN79" s="62"/>
      <c r="HO79" s="673"/>
      <c r="HP79" s="673">
        <f t="shared" si="236"/>
        <v>0</v>
      </c>
      <c r="HQ79" s="539"/>
      <c r="HR79" s="539"/>
      <c r="HS79" s="539"/>
      <c r="HT79" s="539"/>
      <c r="HU79" s="539"/>
      <c r="HV79" s="673"/>
      <c r="HW79" s="673">
        <f t="shared" si="199"/>
        <v>0</v>
      </c>
      <c r="HX79" s="539"/>
    </row>
    <row r="80" spans="1:232" ht="72.75" customHeight="1">
      <c r="A80" s="510" t="s">
        <v>327</v>
      </c>
      <c r="B80" s="31" t="s">
        <v>31</v>
      </c>
      <c r="C80" s="31" t="s">
        <v>90</v>
      </c>
      <c r="D80" s="31">
        <v>2020</v>
      </c>
      <c r="E80" s="31"/>
      <c r="F80" s="31" t="s">
        <v>309</v>
      </c>
      <c r="G80" s="31" t="s">
        <v>337</v>
      </c>
      <c r="H80" s="31" t="s">
        <v>817</v>
      </c>
      <c r="I80" s="31"/>
      <c r="J80" s="31" t="s">
        <v>335</v>
      </c>
      <c r="K80" s="180" t="s">
        <v>347</v>
      </c>
      <c r="L80" s="114" t="s">
        <v>31</v>
      </c>
      <c r="M80" s="115" t="s">
        <v>348</v>
      </c>
      <c r="N80" s="116">
        <v>39798</v>
      </c>
      <c r="O80" s="159"/>
      <c r="P80" s="159"/>
      <c r="Q80" s="159"/>
      <c r="R80" s="159"/>
      <c r="S80" s="159"/>
      <c r="T80" s="386"/>
      <c r="U80" s="386"/>
      <c r="V80" s="386"/>
      <c r="W80" s="159"/>
      <c r="X80" s="143"/>
      <c r="Y80" s="525" t="e">
        <f t="shared" si="206"/>
        <v>#DIV/0!</v>
      </c>
      <c r="Z80" s="143"/>
      <c r="AA80" s="143"/>
      <c r="AB80" s="144"/>
      <c r="AC80" s="31" t="s">
        <v>308</v>
      </c>
      <c r="AD80" s="493">
        <f t="shared" si="243"/>
        <v>16</v>
      </c>
      <c r="AE80" s="493">
        <f t="shared" si="207"/>
        <v>0</v>
      </c>
      <c r="AF80" s="42"/>
      <c r="AG80" s="42"/>
      <c r="AH80" s="42"/>
      <c r="AI80" s="31">
        <v>16</v>
      </c>
      <c r="AJ80" s="796"/>
      <c r="AK80" s="276"/>
      <c r="AL80" s="586">
        <f t="shared" si="244"/>
        <v>0</v>
      </c>
      <c r="AM80" s="8">
        <f t="shared" si="245"/>
        <v>0</v>
      </c>
      <c r="AN80" s="35"/>
      <c r="AO80" s="35"/>
      <c r="AP80" s="35"/>
      <c r="AQ80" s="53"/>
      <c r="AR80" s="53"/>
      <c r="AS80" s="53"/>
      <c r="AT80" s="53"/>
      <c r="AU80" s="53"/>
      <c r="AV80" s="35"/>
      <c r="AW80" s="51"/>
      <c r="AX80" s="53"/>
      <c r="AY80" s="35"/>
      <c r="AZ80" s="31"/>
      <c r="BA80" s="31"/>
      <c r="BB80" s="160"/>
      <c r="BC80" s="31"/>
      <c r="BD80" s="31"/>
      <c r="BE80" s="31"/>
      <c r="BF80" s="31"/>
      <c r="BG80" s="31"/>
      <c r="BH80" s="73">
        <v>43816</v>
      </c>
      <c r="BI80" s="31"/>
      <c r="BJ80" s="660"/>
      <c r="BK80" s="660"/>
      <c r="BL80" s="661"/>
      <c r="BM80" s="659">
        <f t="shared" si="246"/>
        <v>0</v>
      </c>
      <c r="BN80" s="578"/>
      <c r="BO80" s="452"/>
      <c r="BP80" s="554"/>
      <c r="BQ80" s="654">
        <f t="shared" si="277"/>
        <v>0</v>
      </c>
      <c r="BR80" s="639"/>
      <c r="BS80" s="452"/>
      <c r="BT80" s="110"/>
      <c r="BU80" s="202"/>
      <c r="BV80" s="201">
        <f t="shared" si="208"/>
        <v>731</v>
      </c>
      <c r="BW80" s="439"/>
      <c r="BX80" s="555"/>
      <c r="BY80" s="556"/>
      <c r="BZ80" s="556"/>
      <c r="CA80" s="556"/>
      <c r="CB80" s="81">
        <v>43711</v>
      </c>
      <c r="CC80" s="81">
        <v>43696</v>
      </c>
      <c r="CD80" s="81">
        <v>43698</v>
      </c>
      <c r="CE80" s="326">
        <f t="shared" si="229"/>
        <v>2</v>
      </c>
      <c r="CF80" s="341">
        <v>43951</v>
      </c>
      <c r="CG80" s="341"/>
      <c r="CH80" s="343" t="str">
        <f t="shared" si="230"/>
        <v>0</v>
      </c>
      <c r="CI80" s="81">
        <v>43937</v>
      </c>
      <c r="CJ80" s="341">
        <f ca="1">IF(CI80&lt;TODAY(),TODAY(),CI80)</f>
        <v>43950</v>
      </c>
      <c r="CK80" s="326">
        <f t="shared" ca="1" si="231"/>
        <v>13</v>
      </c>
      <c r="CL80" s="341">
        <v>43937</v>
      </c>
      <c r="CM80" s="341">
        <f ca="1">IF(CL80&lt;TODAY(),TODAY(),CL80)</f>
        <v>43950</v>
      </c>
      <c r="CN80" s="343">
        <f t="shared" ca="1" si="232"/>
        <v>13</v>
      </c>
      <c r="CO80" s="341">
        <v>43981</v>
      </c>
      <c r="CP80" s="341">
        <f ca="1">IF(CO80&lt;TODAY(),TODAY(),CO80)</f>
        <v>43981</v>
      </c>
      <c r="CQ80" s="343">
        <f t="shared" ca="1" si="247"/>
        <v>0</v>
      </c>
      <c r="CR80" s="290"/>
      <c r="CS80" s="341"/>
      <c r="CT80" s="330"/>
      <c r="CU80" s="331"/>
      <c r="CV80" s="332" t="str">
        <f t="shared" si="263"/>
        <v>0</v>
      </c>
      <c r="CW80" s="330">
        <v>44228</v>
      </c>
      <c r="CX80" s="449">
        <v>44270</v>
      </c>
      <c r="CY80" s="233"/>
      <c r="CZ80" s="284">
        <f t="shared" si="240"/>
        <v>1475.6666666666667</v>
      </c>
      <c r="DA80" s="332">
        <f t="shared" si="209"/>
        <v>42</v>
      </c>
      <c r="DB80" s="450">
        <v>12</v>
      </c>
      <c r="DC80" s="169">
        <f t="shared" si="210"/>
        <v>12</v>
      </c>
      <c r="DD80" s="330"/>
      <c r="DE80" s="335">
        <f t="shared" ca="1" si="278"/>
        <v>43950</v>
      </c>
      <c r="DF80" s="332" t="str">
        <f t="shared" ca="1" si="233"/>
        <v>0</v>
      </c>
      <c r="DG80" s="330"/>
      <c r="DH80" s="348">
        <f t="shared" ca="1" si="279"/>
        <v>43950</v>
      </c>
      <c r="DI80" s="333" t="str">
        <f t="shared" ca="1" si="212"/>
        <v>0</v>
      </c>
      <c r="DJ80" s="334"/>
      <c r="DK80" s="348">
        <f t="shared" ca="1" si="280"/>
        <v>43950</v>
      </c>
      <c r="DL80" s="332" t="str">
        <f t="shared" ca="1" si="214"/>
        <v>0</v>
      </c>
      <c r="DM80" s="335"/>
      <c r="DN80" s="335">
        <f t="shared" ca="1" si="281"/>
        <v>43950</v>
      </c>
      <c r="DO80" s="332" t="str">
        <f t="shared" ca="1" si="216"/>
        <v>0</v>
      </c>
      <c r="DP80" s="336"/>
      <c r="DQ80" s="336"/>
      <c r="DR80" s="332" t="str">
        <f t="shared" si="217"/>
        <v>0</v>
      </c>
      <c r="DS80" s="335"/>
      <c r="DT80" s="335">
        <f t="shared" ca="1" si="282"/>
        <v>43950</v>
      </c>
      <c r="DU80" s="332" t="str">
        <f t="shared" ca="1" si="219"/>
        <v>0</v>
      </c>
      <c r="DV80" s="335"/>
      <c r="DW80" s="335">
        <f t="shared" ca="1" si="283"/>
        <v>43950</v>
      </c>
      <c r="DX80" s="332" t="str">
        <f t="shared" ca="1" si="221"/>
        <v>0</v>
      </c>
      <c r="DY80" s="336"/>
      <c r="DZ80" s="336"/>
      <c r="EA80" s="336"/>
      <c r="EB80" s="477">
        <f t="shared" si="258"/>
        <v>44635</v>
      </c>
      <c r="EC80" s="476">
        <f>DATE(YEAR(EB80),MONTH(EB80),DAY(EB80))</f>
        <v>44635</v>
      </c>
      <c r="ED80" s="473">
        <f t="shared" si="248"/>
        <v>0</v>
      </c>
      <c r="EE80" s="605">
        <f t="shared" ca="1" si="284"/>
        <v>22.833333333333332</v>
      </c>
      <c r="EF80" s="537">
        <f t="shared" ca="1" si="285"/>
        <v>44680</v>
      </c>
      <c r="EG80" s="535"/>
      <c r="EH80" s="526"/>
      <c r="EI80" s="536">
        <f>DATE(YEAR(EC80),MONTH(EC80)+4,DAY(EC80)+2)</f>
        <v>44759</v>
      </c>
      <c r="EJ80" s="295"/>
      <c r="EK80" s="534">
        <f t="shared" si="242"/>
        <v>44666</v>
      </c>
      <c r="EL80" s="476">
        <f>DATE(YEAR(EC80),MONTH(EC80)+1,DAY(EC80))</f>
        <v>44666</v>
      </c>
      <c r="EM80" s="625"/>
      <c r="EN80" s="471">
        <f>(EL80-EK80)/30</f>
        <v>0</v>
      </c>
      <c r="EO80" s="461"/>
      <c r="EP80" s="173">
        <f t="shared" si="259"/>
        <v>0</v>
      </c>
      <c r="EQ80" s="77"/>
      <c r="ER80" s="353"/>
      <c r="ES80" s="353">
        <v>0</v>
      </c>
      <c r="ET80" s="353"/>
      <c r="EU80" s="353"/>
      <c r="EV80" s="353"/>
      <c r="EW80" s="483">
        <f t="shared" si="260"/>
        <v>0</v>
      </c>
      <c r="EX80" s="350"/>
      <c r="EY80" s="362"/>
      <c r="EZ80" s="350"/>
      <c r="FA80" s="350"/>
      <c r="FB80" s="126">
        <f t="shared" ca="1" si="234"/>
        <v>44680</v>
      </c>
      <c r="FC80" s="80"/>
      <c r="FD80" s="80"/>
      <c r="FE80" s="80"/>
      <c r="FF80" s="80"/>
      <c r="FG80" s="80"/>
      <c r="FH80" s="31"/>
      <c r="FI80" s="194">
        <f t="shared" si="201"/>
        <v>45000</v>
      </c>
      <c r="FJ80" s="194"/>
      <c r="FK80" s="31"/>
      <c r="FL80" s="31"/>
      <c r="FM80" s="31"/>
      <c r="FN80" s="31"/>
      <c r="FO80" s="31"/>
      <c r="FP80" s="31"/>
      <c r="FQ80" s="31"/>
      <c r="FR80" s="31"/>
      <c r="FS80" s="31"/>
      <c r="FT80" s="31"/>
      <c r="FU80" s="31"/>
      <c r="FV80" s="31"/>
      <c r="FW80" s="31"/>
      <c r="FX80" s="529"/>
      <c r="FY80" s="652">
        <f t="shared" si="249"/>
        <v>3367324.58</v>
      </c>
      <c r="FZ80" s="550">
        <f t="shared" si="264"/>
        <v>3367324.58</v>
      </c>
      <c r="GA80" s="267"/>
      <c r="GB80" s="602">
        <f t="shared" si="286"/>
        <v>494650</v>
      </c>
      <c r="GC80" s="267" t="e">
        <f t="shared" si="250"/>
        <v>#DIV/0!</v>
      </c>
      <c r="GD80" s="267">
        <f t="shared" si="261"/>
        <v>210457.78625</v>
      </c>
      <c r="GE80" s="45"/>
      <c r="GF80" s="519"/>
      <c r="GG80" s="267" t="e">
        <f>#REF!/AD80</f>
        <v>#REF!</v>
      </c>
      <c r="GH80" s="45">
        <v>2872674.58</v>
      </c>
      <c r="GI80" s="267"/>
      <c r="GJ80" s="267"/>
      <c r="GK80" s="407">
        <f t="shared" si="262"/>
        <v>179542.16125</v>
      </c>
      <c r="GL80" s="623"/>
      <c r="GM80" s="45">
        <v>492480</v>
      </c>
      <c r="GN80" s="45"/>
      <c r="GO80" s="23">
        <f t="shared" si="251"/>
        <v>0.14625260746322233</v>
      </c>
      <c r="GP80" s="60"/>
      <c r="GQ80" s="45"/>
      <c r="GR80" s="45">
        <v>2170</v>
      </c>
      <c r="GS80" s="28">
        <f t="shared" si="222"/>
        <v>30780</v>
      </c>
      <c r="GT80" s="28">
        <f t="shared" si="223"/>
        <v>30780</v>
      </c>
      <c r="GU80" s="682"/>
      <c r="GV80" s="682"/>
      <c r="GW80" s="680" t="e">
        <f>(#REF!+#REF!+GV80)/AD80</f>
        <v>#REF!</v>
      </c>
      <c r="GX80" s="682"/>
      <c r="GY80" s="682">
        <f t="shared" si="224"/>
        <v>30780</v>
      </c>
      <c r="GZ80" s="681" t="e">
        <f>(#REF!+#REF!+GV80+GX80)/(GU80+#REF!-HA80)</f>
        <v>#REF!</v>
      </c>
      <c r="HA80" s="682"/>
      <c r="HB80" s="682"/>
      <c r="HC80" s="45"/>
      <c r="HD80" s="602"/>
      <c r="HE80" s="608">
        <f t="shared" si="225"/>
        <v>0</v>
      </c>
      <c r="HF80" s="602">
        <f t="shared" si="226"/>
        <v>3367324.58</v>
      </c>
      <c r="HG80" s="602">
        <f t="shared" ref="HG80:HG88" ca="1" si="288">IF(EE80&lt;DATEDIF(TODAY(),$HG$1,"M"),HF80,(HF80/EE80*DATEDIF(TODAY(),$HG$1,"M")))</f>
        <v>1179792.5535766424</v>
      </c>
      <c r="HH80" s="608">
        <f t="shared" ca="1" si="287"/>
        <v>0.35036496350364965</v>
      </c>
      <c r="HI80" s="602"/>
      <c r="HJ80" s="602">
        <f t="shared" si="257"/>
        <v>494650</v>
      </c>
      <c r="HK80" s="602">
        <f t="shared" si="253"/>
        <v>0</v>
      </c>
      <c r="HL80" s="602"/>
      <c r="HM80" s="673"/>
      <c r="HN80" s="269"/>
      <c r="HO80" s="673"/>
      <c r="HP80" s="673">
        <f t="shared" si="236"/>
        <v>0</v>
      </c>
      <c r="HQ80" s="539"/>
      <c r="HR80" s="539"/>
      <c r="HS80" s="539"/>
      <c r="HT80" s="539"/>
      <c r="HU80" s="539"/>
      <c r="HV80" s="673"/>
      <c r="HW80" s="673">
        <f t="shared" si="199"/>
        <v>0</v>
      </c>
      <c r="HX80" s="539"/>
    </row>
    <row r="81" spans="1:232" ht="30" customHeight="1">
      <c r="A81" s="510" t="s">
        <v>326</v>
      </c>
      <c r="B81" s="31" t="s">
        <v>21</v>
      </c>
      <c r="C81" s="31" t="s">
        <v>90</v>
      </c>
      <c r="D81" s="31">
        <v>2020</v>
      </c>
      <c r="E81" s="31"/>
      <c r="F81" s="31" t="s">
        <v>864</v>
      </c>
      <c r="G81" s="31" t="s">
        <v>605</v>
      </c>
      <c r="H81" s="31" t="s">
        <v>817</v>
      </c>
      <c r="I81" s="31"/>
      <c r="J81" s="31" t="s">
        <v>350</v>
      </c>
      <c r="K81" s="180" t="s">
        <v>338</v>
      </c>
      <c r="L81" s="114" t="s">
        <v>44</v>
      </c>
      <c r="M81" s="115" t="s">
        <v>349</v>
      </c>
      <c r="N81" s="116">
        <v>35571</v>
      </c>
      <c r="O81" s="159"/>
      <c r="P81" s="159"/>
      <c r="Q81" s="159"/>
      <c r="R81" s="159"/>
      <c r="S81" s="159"/>
      <c r="T81" s="386"/>
      <c r="U81" s="386"/>
      <c r="V81" s="386"/>
      <c r="W81" s="159"/>
      <c r="X81" s="143"/>
      <c r="Y81" s="525" t="e">
        <f t="shared" si="206"/>
        <v>#DIV/0!</v>
      </c>
      <c r="Z81" s="143"/>
      <c r="AA81" s="143"/>
      <c r="AB81" s="144"/>
      <c r="AC81" s="31" t="s">
        <v>308</v>
      </c>
      <c r="AD81" s="493">
        <f t="shared" si="243"/>
        <v>38</v>
      </c>
      <c r="AE81" s="494">
        <f t="shared" si="207"/>
        <v>0</v>
      </c>
      <c r="AF81" s="42"/>
      <c r="AG81" s="42"/>
      <c r="AH81" s="42"/>
      <c r="AI81" s="131">
        <v>38</v>
      </c>
      <c r="AJ81" s="796"/>
      <c r="AK81" s="276"/>
      <c r="AL81" s="586">
        <f t="shared" si="244"/>
        <v>0</v>
      </c>
      <c r="AM81" s="8">
        <f t="shared" si="245"/>
        <v>0</v>
      </c>
      <c r="AN81" s="35"/>
      <c r="AO81" s="35"/>
      <c r="AP81" s="35"/>
      <c r="AQ81" s="53"/>
      <c r="AR81" s="53"/>
      <c r="AS81" s="53"/>
      <c r="AT81" s="53"/>
      <c r="AU81" s="53"/>
      <c r="AV81" s="35"/>
      <c r="AW81" s="51"/>
      <c r="AX81" s="53"/>
      <c r="AY81" s="35"/>
      <c r="AZ81" s="31"/>
      <c r="BA81" s="31"/>
      <c r="BB81" s="160"/>
      <c r="BC81" s="31"/>
      <c r="BD81" s="31"/>
      <c r="BE81" s="31"/>
      <c r="BF81" s="31"/>
      <c r="BG81" s="31"/>
      <c r="BH81" s="73">
        <v>43816</v>
      </c>
      <c r="BI81" s="31"/>
      <c r="BJ81" s="660"/>
      <c r="BK81" s="660"/>
      <c r="BL81" s="661"/>
      <c r="BM81" s="659">
        <f t="shared" si="246"/>
        <v>0</v>
      </c>
      <c r="BN81" s="578"/>
      <c r="BO81" s="110"/>
      <c r="BP81" s="139"/>
      <c r="BQ81" s="654">
        <f t="shared" si="277"/>
        <v>0</v>
      </c>
      <c r="BR81" s="638"/>
      <c r="BS81" s="110"/>
      <c r="BT81" s="110"/>
      <c r="BU81" s="202"/>
      <c r="BV81" s="201">
        <f t="shared" si="208"/>
        <v>731</v>
      </c>
      <c r="BW81" s="439"/>
      <c r="BX81" s="555"/>
      <c r="BY81" s="556"/>
      <c r="BZ81" s="556"/>
      <c r="CA81" s="556"/>
      <c r="CB81" s="81">
        <v>43706</v>
      </c>
      <c r="CC81" s="81">
        <v>43696</v>
      </c>
      <c r="CD81" s="81">
        <v>43704</v>
      </c>
      <c r="CE81" s="326">
        <f t="shared" si="229"/>
        <v>8</v>
      </c>
      <c r="CF81" s="341">
        <v>43951</v>
      </c>
      <c r="CG81" s="341"/>
      <c r="CH81" s="343" t="str">
        <f t="shared" si="230"/>
        <v>0</v>
      </c>
      <c r="CI81" s="81">
        <v>43906</v>
      </c>
      <c r="CJ81" s="81">
        <v>43936</v>
      </c>
      <c r="CK81" s="326">
        <f t="shared" si="231"/>
        <v>30</v>
      </c>
      <c r="CL81" s="81">
        <v>43906</v>
      </c>
      <c r="CM81" s="81">
        <v>43936</v>
      </c>
      <c r="CN81" s="326">
        <f t="shared" si="232"/>
        <v>30</v>
      </c>
      <c r="CO81" s="341">
        <v>43968</v>
      </c>
      <c r="CP81" s="341">
        <f ca="1">IF(CO81&lt;TODAY(),TODAY(),CO81)</f>
        <v>43968</v>
      </c>
      <c r="CQ81" s="343">
        <f t="shared" ca="1" si="247"/>
        <v>0</v>
      </c>
      <c r="CR81" s="290"/>
      <c r="CS81" s="339"/>
      <c r="CT81" s="330"/>
      <c r="CU81" s="331"/>
      <c r="CV81" s="332" t="str">
        <f t="shared" si="263"/>
        <v>0</v>
      </c>
      <c r="CW81" s="330">
        <v>44228</v>
      </c>
      <c r="CX81" s="449">
        <v>44270</v>
      </c>
      <c r="CY81" s="233"/>
      <c r="CZ81" s="284">
        <f t="shared" si="240"/>
        <v>1475.6666666666667</v>
      </c>
      <c r="DA81" s="332">
        <f t="shared" si="209"/>
        <v>42</v>
      </c>
      <c r="DB81" s="450">
        <v>12</v>
      </c>
      <c r="DC81" s="169">
        <f t="shared" si="210"/>
        <v>12</v>
      </c>
      <c r="DD81" s="330"/>
      <c r="DE81" s="335">
        <f t="shared" ca="1" si="278"/>
        <v>43950</v>
      </c>
      <c r="DF81" s="332" t="str">
        <f t="shared" ca="1" si="233"/>
        <v>0</v>
      </c>
      <c r="DG81" s="330"/>
      <c r="DH81" s="348">
        <f t="shared" ca="1" si="279"/>
        <v>43950</v>
      </c>
      <c r="DI81" s="333" t="str">
        <f t="shared" ca="1" si="212"/>
        <v>0</v>
      </c>
      <c r="DJ81" s="334"/>
      <c r="DK81" s="348">
        <f t="shared" ca="1" si="280"/>
        <v>43950</v>
      </c>
      <c r="DL81" s="332" t="str">
        <f t="shared" ca="1" si="214"/>
        <v>0</v>
      </c>
      <c r="DM81" s="335"/>
      <c r="DN81" s="335">
        <f t="shared" ca="1" si="281"/>
        <v>43950</v>
      </c>
      <c r="DO81" s="332" t="str">
        <f t="shared" ca="1" si="216"/>
        <v>0</v>
      </c>
      <c r="DP81" s="336"/>
      <c r="DQ81" s="336"/>
      <c r="DR81" s="332" t="str">
        <f t="shared" si="217"/>
        <v>0</v>
      </c>
      <c r="DS81" s="335"/>
      <c r="DT81" s="335">
        <f t="shared" ca="1" si="282"/>
        <v>43950</v>
      </c>
      <c r="DU81" s="332" t="str">
        <f t="shared" ca="1" si="219"/>
        <v>0</v>
      </c>
      <c r="DV81" s="335"/>
      <c r="DW81" s="335">
        <f t="shared" ca="1" si="283"/>
        <v>43950</v>
      </c>
      <c r="DX81" s="332" t="str">
        <f t="shared" ca="1" si="221"/>
        <v>0</v>
      </c>
      <c r="DY81" s="336"/>
      <c r="DZ81" s="336"/>
      <c r="EA81" s="336"/>
      <c r="EB81" s="477">
        <f t="shared" si="258"/>
        <v>44635</v>
      </c>
      <c r="EC81" s="476">
        <f>DATE(YEAR(EB81),MONTH(EB81),DAY(EB81))</f>
        <v>44635</v>
      </c>
      <c r="ED81" s="473">
        <f t="shared" si="248"/>
        <v>0</v>
      </c>
      <c r="EE81" s="605">
        <f t="shared" ca="1" si="284"/>
        <v>22.833333333333332</v>
      </c>
      <c r="EF81" s="537">
        <f t="shared" ca="1" si="285"/>
        <v>44680</v>
      </c>
      <c r="EG81" s="535"/>
      <c r="EH81" s="526"/>
      <c r="EI81" s="536">
        <f>DATE(YEAR(EC81),MONTH(EC81)+4,DAY(EC81)+2)</f>
        <v>44759</v>
      </c>
      <c r="EJ81" s="295"/>
      <c r="EK81" s="534">
        <f t="shared" si="242"/>
        <v>44666</v>
      </c>
      <c r="EL81" s="476">
        <f>DATE(YEAR(EC81),MONTH(EC81)+1,DAY(EC81))</f>
        <v>44666</v>
      </c>
      <c r="EM81" s="625"/>
      <c r="EN81" s="471">
        <f>(EL81-EK81)/30</f>
        <v>0</v>
      </c>
      <c r="EO81" s="461"/>
      <c r="EP81" s="173">
        <f t="shared" si="259"/>
        <v>0</v>
      </c>
      <c r="EQ81" s="77"/>
      <c r="ER81" s="353"/>
      <c r="ES81" s="353">
        <v>0</v>
      </c>
      <c r="ET81" s="353"/>
      <c r="EU81" s="353"/>
      <c r="EV81" s="353"/>
      <c r="EW81" s="483">
        <f t="shared" si="260"/>
        <v>0</v>
      </c>
      <c r="EX81" s="350"/>
      <c r="EY81" s="362"/>
      <c r="EZ81" s="350"/>
      <c r="FA81" s="350"/>
      <c r="FB81" s="126">
        <f t="shared" ca="1" si="234"/>
        <v>44680</v>
      </c>
      <c r="FC81" s="80"/>
      <c r="FD81" s="80"/>
      <c r="FE81" s="80"/>
      <c r="FF81" s="80"/>
      <c r="FG81" s="80"/>
      <c r="FH81" s="31"/>
      <c r="FI81" s="194">
        <f t="shared" ref="FI81:FI97" si="289">DATE(YEAR(EC81)+1,MONTH(EC81),DAY(EC81))</f>
        <v>45000</v>
      </c>
      <c r="FJ81" s="194"/>
      <c r="FK81" s="31"/>
      <c r="FL81" s="31"/>
      <c r="FM81" s="31"/>
      <c r="FN81" s="31"/>
      <c r="FO81" s="31"/>
      <c r="FP81" s="31"/>
      <c r="FQ81" s="31"/>
      <c r="FR81" s="31"/>
      <c r="FS81" s="31"/>
      <c r="FT81" s="31"/>
      <c r="FU81" s="31"/>
      <c r="FV81" s="31"/>
      <c r="FW81" s="31"/>
      <c r="FX81" s="529"/>
      <c r="FY81" s="652">
        <f t="shared" si="249"/>
        <v>3181927.767293164</v>
      </c>
      <c r="FZ81" s="550">
        <f t="shared" si="264"/>
        <v>3181927.767293164</v>
      </c>
      <c r="GA81" s="267"/>
      <c r="GB81" s="602">
        <f t="shared" si="286"/>
        <v>275520</v>
      </c>
      <c r="GC81" s="267" t="e">
        <f t="shared" si="250"/>
        <v>#DIV/0!</v>
      </c>
      <c r="GD81" s="267">
        <f t="shared" si="261"/>
        <v>83734.941244556947</v>
      </c>
      <c r="GE81" s="45"/>
      <c r="GF81" s="519"/>
      <c r="GG81" s="267" t="e">
        <f>#REF!/AD81</f>
        <v>#REF!</v>
      </c>
      <c r="GH81" s="45">
        <v>2906407.767293164</v>
      </c>
      <c r="GI81" s="267"/>
      <c r="GJ81" s="267"/>
      <c r="GK81" s="407">
        <f t="shared" si="262"/>
        <v>76484.414928767481</v>
      </c>
      <c r="GL81" s="623"/>
      <c r="GM81" s="45">
        <v>273600</v>
      </c>
      <c r="GN81" s="45"/>
      <c r="GO81" s="23">
        <f t="shared" si="251"/>
        <v>8.5985609985341979E-2</v>
      </c>
      <c r="GP81" s="60"/>
      <c r="GQ81" s="45"/>
      <c r="GR81" s="45">
        <v>1920</v>
      </c>
      <c r="GS81" s="28">
        <f t="shared" si="222"/>
        <v>7200</v>
      </c>
      <c r="GT81" s="28">
        <f t="shared" si="223"/>
        <v>7200</v>
      </c>
      <c r="GU81" s="682"/>
      <c r="GV81" s="682"/>
      <c r="GW81" s="680" t="e">
        <f>(#REF!+#REF!+GV81)/AD81</f>
        <v>#REF!</v>
      </c>
      <c r="GX81" s="682"/>
      <c r="GY81" s="682">
        <f t="shared" si="224"/>
        <v>7200</v>
      </c>
      <c r="GZ81" s="681" t="e">
        <f>(#REF!+#REF!+GV81+GX81)/(GU81+#REF!-HA81)</f>
        <v>#REF!</v>
      </c>
      <c r="HA81" s="682"/>
      <c r="HB81" s="682"/>
      <c r="HC81" s="45"/>
      <c r="HD81" s="602"/>
      <c r="HE81" s="608">
        <f t="shared" si="225"/>
        <v>0</v>
      </c>
      <c r="HF81" s="602">
        <f t="shared" si="226"/>
        <v>3181927.767293164</v>
      </c>
      <c r="HG81" s="602">
        <f t="shared" ca="1" si="288"/>
        <v>1114836.0060589188</v>
      </c>
      <c r="HH81" s="608">
        <f t="shared" ca="1" si="287"/>
        <v>0.35036496350364965</v>
      </c>
      <c r="HI81" s="602"/>
      <c r="HJ81" s="602">
        <f t="shared" si="257"/>
        <v>275520</v>
      </c>
      <c r="HK81" s="602">
        <f t="shared" si="253"/>
        <v>0</v>
      </c>
      <c r="HL81" s="602"/>
      <c r="HM81" s="673"/>
      <c r="HN81" s="269"/>
      <c r="HO81" s="673"/>
      <c r="HP81" s="673">
        <f t="shared" si="236"/>
        <v>0</v>
      </c>
      <c r="HQ81" s="539"/>
      <c r="HR81" s="539"/>
      <c r="HS81" s="539"/>
      <c r="HT81" s="539"/>
      <c r="HU81" s="539"/>
      <c r="HV81" s="673"/>
      <c r="HW81" s="673">
        <f t="shared" si="199"/>
        <v>0</v>
      </c>
      <c r="HX81" s="539"/>
    </row>
    <row r="82" spans="1:232" ht="33.75" customHeight="1">
      <c r="A82" s="510" t="s">
        <v>331</v>
      </c>
      <c r="B82" s="31" t="s">
        <v>14</v>
      </c>
      <c r="C82" s="31" t="s">
        <v>90</v>
      </c>
      <c r="D82" s="31">
        <v>2020</v>
      </c>
      <c r="E82" s="31"/>
      <c r="F82" s="31" t="s">
        <v>309</v>
      </c>
      <c r="G82" s="31" t="s">
        <v>606</v>
      </c>
      <c r="H82" s="31" t="s">
        <v>817</v>
      </c>
      <c r="I82" s="31"/>
      <c r="J82" s="31" t="s">
        <v>355</v>
      </c>
      <c r="K82" s="180" t="s">
        <v>353</v>
      </c>
      <c r="L82" s="114" t="s">
        <v>44</v>
      </c>
      <c r="M82" s="205" t="s">
        <v>351</v>
      </c>
      <c r="N82" s="206" t="s">
        <v>352</v>
      </c>
      <c r="O82" s="159"/>
      <c r="P82" s="159"/>
      <c r="Q82" s="159"/>
      <c r="R82" s="159"/>
      <c r="S82" s="159"/>
      <c r="T82" s="386"/>
      <c r="U82" s="386"/>
      <c r="V82" s="386"/>
      <c r="W82" s="159"/>
      <c r="X82" s="143"/>
      <c r="Y82" s="525" t="e">
        <f t="shared" si="206"/>
        <v>#DIV/0!</v>
      </c>
      <c r="Z82" s="143"/>
      <c r="AA82" s="143"/>
      <c r="AB82" s="144"/>
      <c r="AC82" s="31" t="s">
        <v>308</v>
      </c>
      <c r="AD82" s="493">
        <f t="shared" si="243"/>
        <v>30</v>
      </c>
      <c r="AE82" s="493">
        <f t="shared" si="207"/>
        <v>0</v>
      </c>
      <c r="AF82" s="42"/>
      <c r="AG82" s="42"/>
      <c r="AH82" s="42"/>
      <c r="AI82" s="131">
        <v>30</v>
      </c>
      <c r="AJ82" s="796"/>
      <c r="AK82" s="276"/>
      <c r="AL82" s="586">
        <f t="shared" si="244"/>
        <v>0</v>
      </c>
      <c r="AM82" s="8">
        <f t="shared" si="245"/>
        <v>0</v>
      </c>
      <c r="AN82" s="35"/>
      <c r="AO82" s="35"/>
      <c r="AP82" s="35"/>
      <c r="AQ82" s="53"/>
      <c r="AR82" s="53"/>
      <c r="AS82" s="53"/>
      <c r="AT82" s="53"/>
      <c r="AU82" s="53"/>
      <c r="AV82" s="35"/>
      <c r="AW82" s="51"/>
      <c r="AX82" s="53"/>
      <c r="AY82" s="35"/>
      <c r="AZ82" s="31"/>
      <c r="BA82" s="31"/>
      <c r="BB82" s="160"/>
      <c r="BC82" s="31"/>
      <c r="BD82" s="31"/>
      <c r="BE82" s="31"/>
      <c r="BF82" s="31"/>
      <c r="BG82" s="31"/>
      <c r="BH82" s="73">
        <v>43816</v>
      </c>
      <c r="BI82" s="31"/>
      <c r="BJ82" s="660"/>
      <c r="BK82" s="660"/>
      <c r="BL82" s="661"/>
      <c r="BM82" s="659">
        <f t="shared" si="246"/>
        <v>0</v>
      </c>
      <c r="BN82" s="578" t="s">
        <v>235</v>
      </c>
      <c r="BO82" s="110"/>
      <c r="BP82" s="139"/>
      <c r="BQ82" s="654">
        <f t="shared" si="277"/>
        <v>0</v>
      </c>
      <c r="BR82" s="638"/>
      <c r="BS82" s="110"/>
      <c r="BT82" s="110"/>
      <c r="BU82" s="202"/>
      <c r="BV82" s="201">
        <f t="shared" si="208"/>
        <v>731</v>
      </c>
      <c r="BW82" s="439"/>
      <c r="BX82" s="555"/>
      <c r="BY82" s="556"/>
      <c r="BZ82" s="556"/>
      <c r="CA82" s="556"/>
      <c r="CB82" s="81">
        <v>43704</v>
      </c>
      <c r="CC82" s="81">
        <v>43696</v>
      </c>
      <c r="CD82" s="81">
        <v>43704</v>
      </c>
      <c r="CE82" s="326">
        <f t="shared" si="229"/>
        <v>8</v>
      </c>
      <c r="CF82" s="341">
        <v>43951</v>
      </c>
      <c r="CG82" s="341"/>
      <c r="CH82" s="343" t="str">
        <f t="shared" si="230"/>
        <v>0</v>
      </c>
      <c r="CI82" s="81">
        <v>43906</v>
      </c>
      <c r="CJ82" s="81">
        <v>43936</v>
      </c>
      <c r="CK82" s="326">
        <f t="shared" si="231"/>
        <v>30</v>
      </c>
      <c r="CL82" s="81">
        <v>43906</v>
      </c>
      <c r="CM82" s="81">
        <v>43936</v>
      </c>
      <c r="CN82" s="326">
        <f t="shared" si="232"/>
        <v>30</v>
      </c>
      <c r="CO82" s="341">
        <v>43968</v>
      </c>
      <c r="CP82" s="341">
        <f ca="1">IF(CO82&lt;TODAY(),TODAY(),CO82)</f>
        <v>43968</v>
      </c>
      <c r="CQ82" s="343">
        <f t="shared" ca="1" si="247"/>
        <v>0</v>
      </c>
      <c r="CR82" s="290"/>
      <c r="CS82" s="339"/>
      <c r="CT82" s="330"/>
      <c r="CU82" s="331"/>
      <c r="CV82" s="332" t="str">
        <f t="shared" si="263"/>
        <v>0</v>
      </c>
      <c r="CW82" s="330">
        <v>44228</v>
      </c>
      <c r="CX82" s="449">
        <v>44270</v>
      </c>
      <c r="CY82" s="233"/>
      <c r="CZ82" s="284">
        <f t="shared" si="240"/>
        <v>1475.6666666666667</v>
      </c>
      <c r="DA82" s="332">
        <f t="shared" si="209"/>
        <v>42</v>
      </c>
      <c r="DB82" s="450">
        <v>12</v>
      </c>
      <c r="DC82" s="169">
        <f t="shared" si="210"/>
        <v>12</v>
      </c>
      <c r="DD82" s="330"/>
      <c r="DE82" s="335">
        <f t="shared" ca="1" si="278"/>
        <v>43950</v>
      </c>
      <c r="DF82" s="332" t="str">
        <f t="shared" ca="1" si="233"/>
        <v>0</v>
      </c>
      <c r="DG82" s="330"/>
      <c r="DH82" s="348">
        <f t="shared" ca="1" si="279"/>
        <v>43950</v>
      </c>
      <c r="DI82" s="333" t="str">
        <f t="shared" ca="1" si="212"/>
        <v>0</v>
      </c>
      <c r="DJ82" s="334"/>
      <c r="DK82" s="348">
        <f t="shared" ca="1" si="280"/>
        <v>43950</v>
      </c>
      <c r="DL82" s="332" t="str">
        <f t="shared" ca="1" si="214"/>
        <v>0</v>
      </c>
      <c r="DM82" s="335"/>
      <c r="DN82" s="335">
        <f t="shared" ca="1" si="281"/>
        <v>43950</v>
      </c>
      <c r="DO82" s="332" t="str">
        <f t="shared" ca="1" si="216"/>
        <v>0</v>
      </c>
      <c r="DP82" s="336"/>
      <c r="DQ82" s="336"/>
      <c r="DR82" s="332" t="str">
        <f t="shared" si="217"/>
        <v>0</v>
      </c>
      <c r="DS82" s="335"/>
      <c r="DT82" s="335">
        <f t="shared" ca="1" si="282"/>
        <v>43950</v>
      </c>
      <c r="DU82" s="332" t="str">
        <f t="shared" ca="1" si="219"/>
        <v>0</v>
      </c>
      <c r="DV82" s="335"/>
      <c r="DW82" s="335">
        <f t="shared" ca="1" si="283"/>
        <v>43950</v>
      </c>
      <c r="DX82" s="332" t="str">
        <f t="shared" ca="1" si="221"/>
        <v>0</v>
      </c>
      <c r="DY82" s="336"/>
      <c r="DZ82" s="336"/>
      <c r="EA82" s="336"/>
      <c r="EB82" s="477">
        <f t="shared" si="258"/>
        <v>44635</v>
      </c>
      <c r="EC82" s="476">
        <f>DATE(YEAR(EB82),MONTH(EB82),DAY(EB82))</f>
        <v>44635</v>
      </c>
      <c r="ED82" s="473">
        <f t="shared" si="248"/>
        <v>0</v>
      </c>
      <c r="EE82" s="605">
        <f t="shared" ca="1" si="284"/>
        <v>22.833333333333332</v>
      </c>
      <c r="EF82" s="537">
        <f t="shared" ca="1" si="285"/>
        <v>44680</v>
      </c>
      <c r="EG82" s="535"/>
      <c r="EH82" s="526"/>
      <c r="EI82" s="536">
        <f>DATE(YEAR(EC82),MONTH(EC82)+4,DAY(EC82)+2)</f>
        <v>44759</v>
      </c>
      <c r="EJ82" s="295"/>
      <c r="EK82" s="534">
        <f t="shared" si="242"/>
        <v>44666</v>
      </c>
      <c r="EL82" s="476">
        <f>DATE(YEAR(EC82),MONTH(EC82)+1,DAY(EC82))</f>
        <v>44666</v>
      </c>
      <c r="EM82" s="625"/>
      <c r="EN82" s="471">
        <f>(EL82-EK82)/30</f>
        <v>0</v>
      </c>
      <c r="EO82" s="461"/>
      <c r="EP82" s="173">
        <f t="shared" si="259"/>
        <v>0</v>
      </c>
      <c r="EQ82" s="77"/>
      <c r="ER82" s="353"/>
      <c r="ES82" s="353">
        <v>0</v>
      </c>
      <c r="ET82" s="353"/>
      <c r="EU82" s="353"/>
      <c r="EV82" s="353"/>
      <c r="EW82" s="483">
        <f t="shared" si="260"/>
        <v>0</v>
      </c>
      <c r="EX82" s="350"/>
      <c r="EY82" s="362"/>
      <c r="EZ82" s="350"/>
      <c r="FA82" s="350"/>
      <c r="FB82" s="126">
        <f t="shared" ca="1" si="234"/>
        <v>44680</v>
      </c>
      <c r="FC82" s="80"/>
      <c r="FD82" s="80"/>
      <c r="FE82" s="80"/>
      <c r="FF82" s="80"/>
      <c r="FG82" s="80"/>
      <c r="FH82" s="31"/>
      <c r="FI82" s="194">
        <f t="shared" si="289"/>
        <v>45000</v>
      </c>
      <c r="FJ82" s="194"/>
      <c r="FK82" s="31"/>
      <c r="FL82" s="31"/>
      <c r="FM82" s="31"/>
      <c r="FN82" s="31"/>
      <c r="FO82" s="31"/>
      <c r="FP82" s="31"/>
      <c r="FQ82" s="31"/>
      <c r="FR82" s="31"/>
      <c r="FS82" s="31"/>
      <c r="FT82" s="31"/>
      <c r="FU82" s="31"/>
      <c r="FV82" s="31"/>
      <c r="FW82" s="31"/>
      <c r="FX82" s="529"/>
      <c r="FY82" s="652">
        <f t="shared" si="249"/>
        <v>2076447.11</v>
      </c>
      <c r="FZ82" s="550">
        <f t="shared" si="264"/>
        <v>2076447.11</v>
      </c>
      <c r="GA82" s="267"/>
      <c r="GB82" s="602">
        <f t="shared" si="286"/>
        <v>390970</v>
      </c>
      <c r="GC82" s="267" t="e">
        <f t="shared" si="250"/>
        <v>#DIV/0!</v>
      </c>
      <c r="GD82" s="267">
        <f t="shared" si="261"/>
        <v>69214.903666666665</v>
      </c>
      <c r="GE82" s="45"/>
      <c r="GF82" s="519"/>
      <c r="GG82" s="267" t="e">
        <f>#REF!/AD82</f>
        <v>#REF!</v>
      </c>
      <c r="GH82" s="45">
        <v>1685477.11</v>
      </c>
      <c r="GI82" s="267"/>
      <c r="GJ82" s="267"/>
      <c r="GK82" s="407">
        <f t="shared" si="262"/>
        <v>56182.570333333337</v>
      </c>
      <c r="GL82" s="623"/>
      <c r="GM82" s="45">
        <v>388800</v>
      </c>
      <c r="GN82" s="45"/>
      <c r="GO82" s="23">
        <f t="shared" si="251"/>
        <v>0.18724291031905935</v>
      </c>
      <c r="GP82" s="60"/>
      <c r="GQ82" s="45"/>
      <c r="GR82" s="45">
        <v>2170</v>
      </c>
      <c r="GS82" s="28">
        <f t="shared" si="222"/>
        <v>12960</v>
      </c>
      <c r="GT82" s="28">
        <f t="shared" si="223"/>
        <v>12960</v>
      </c>
      <c r="GU82" s="682"/>
      <c r="GV82" s="682"/>
      <c r="GW82" s="680" t="e">
        <f>(#REF!+#REF!+GV82)/AD82</f>
        <v>#REF!</v>
      </c>
      <c r="GX82" s="682"/>
      <c r="GY82" s="682">
        <f t="shared" si="224"/>
        <v>12960</v>
      </c>
      <c r="GZ82" s="681" t="e">
        <f>(#REF!+#REF!+GV82+GX82)/(GU82+#REF!-HA82)</f>
        <v>#REF!</v>
      </c>
      <c r="HA82" s="682"/>
      <c r="HB82" s="682"/>
      <c r="HC82" s="45"/>
      <c r="HD82" s="602"/>
      <c r="HE82" s="608">
        <f t="shared" si="225"/>
        <v>0</v>
      </c>
      <c r="HF82" s="602">
        <f t="shared" si="226"/>
        <v>2076447.11</v>
      </c>
      <c r="HG82" s="602">
        <f t="shared" ca="1" si="288"/>
        <v>727514.31591240887</v>
      </c>
      <c r="HH82" s="608">
        <f t="shared" ca="1" si="287"/>
        <v>0.35036496350364965</v>
      </c>
      <c r="HI82" s="602"/>
      <c r="HJ82" s="602">
        <f t="shared" si="257"/>
        <v>390970</v>
      </c>
      <c r="HK82" s="602">
        <f t="shared" si="253"/>
        <v>0</v>
      </c>
      <c r="HL82" s="602"/>
      <c r="HM82" s="673"/>
      <c r="HN82" s="269"/>
      <c r="HO82" s="673"/>
      <c r="HP82" s="673">
        <f t="shared" si="236"/>
        <v>0</v>
      </c>
      <c r="HQ82" s="539"/>
      <c r="HR82" s="539"/>
      <c r="HS82" s="539"/>
      <c r="HT82" s="539"/>
      <c r="HU82" s="539"/>
      <c r="HV82" s="673"/>
      <c r="HW82" s="673">
        <f t="shared" si="199"/>
        <v>0</v>
      </c>
      <c r="HX82" s="539"/>
    </row>
    <row r="83" spans="1:232" ht="31.5" customHeight="1">
      <c r="A83" s="510" t="s">
        <v>332</v>
      </c>
      <c r="B83" s="31" t="s">
        <v>14</v>
      </c>
      <c r="C83" s="31" t="s">
        <v>90</v>
      </c>
      <c r="D83" s="31">
        <v>2020</v>
      </c>
      <c r="E83" s="31"/>
      <c r="F83" s="31" t="s">
        <v>309</v>
      </c>
      <c r="G83" s="31" t="s">
        <v>606</v>
      </c>
      <c r="H83" s="31" t="s">
        <v>817</v>
      </c>
      <c r="I83" s="31"/>
      <c r="J83" s="31" t="s">
        <v>354</v>
      </c>
      <c r="K83" s="180" t="s">
        <v>353</v>
      </c>
      <c r="L83" s="114" t="s">
        <v>44</v>
      </c>
      <c r="M83" s="205" t="s">
        <v>351</v>
      </c>
      <c r="N83" s="206" t="s">
        <v>352</v>
      </c>
      <c r="O83" s="159"/>
      <c r="P83" s="159"/>
      <c r="Q83" s="159"/>
      <c r="R83" s="159"/>
      <c r="S83" s="159"/>
      <c r="T83" s="386"/>
      <c r="U83" s="386"/>
      <c r="V83" s="386"/>
      <c r="W83" s="159"/>
      <c r="X83" s="143"/>
      <c r="Y83" s="525" t="e">
        <f t="shared" si="206"/>
        <v>#DIV/0!</v>
      </c>
      <c r="Z83" s="143"/>
      <c r="AA83" s="143"/>
      <c r="AB83" s="144"/>
      <c r="AC83" s="31" t="s">
        <v>308</v>
      </c>
      <c r="AD83" s="493">
        <f t="shared" si="243"/>
        <v>32</v>
      </c>
      <c r="AE83" s="493">
        <f t="shared" si="207"/>
        <v>0</v>
      </c>
      <c r="AF83" s="42"/>
      <c r="AG83" s="42"/>
      <c r="AH83" s="42"/>
      <c r="AI83" s="131">
        <v>32</v>
      </c>
      <c r="AJ83" s="796"/>
      <c r="AK83" s="276"/>
      <c r="AL83" s="586">
        <f t="shared" si="244"/>
        <v>0</v>
      </c>
      <c r="AM83" s="8">
        <f t="shared" si="245"/>
        <v>0</v>
      </c>
      <c r="AN83" s="35"/>
      <c r="AO83" s="35"/>
      <c r="AP83" s="35"/>
      <c r="AQ83" s="53"/>
      <c r="AR83" s="53"/>
      <c r="AS83" s="53"/>
      <c r="AT83" s="53"/>
      <c r="AU83" s="53"/>
      <c r="AV83" s="35"/>
      <c r="AW83" s="51"/>
      <c r="AX83" s="53"/>
      <c r="AY83" s="35"/>
      <c r="AZ83" s="31"/>
      <c r="BA83" s="31"/>
      <c r="BB83" s="160"/>
      <c r="BC83" s="31"/>
      <c r="BD83" s="31"/>
      <c r="BE83" s="31"/>
      <c r="BF83" s="31"/>
      <c r="BG83" s="31"/>
      <c r="BH83" s="73">
        <v>43816</v>
      </c>
      <c r="BI83" s="31"/>
      <c r="BJ83" s="660"/>
      <c r="BK83" s="660"/>
      <c r="BL83" s="661"/>
      <c r="BM83" s="659">
        <f t="shared" si="246"/>
        <v>0</v>
      </c>
      <c r="BN83" s="578" t="s">
        <v>235</v>
      </c>
      <c r="BO83" s="110"/>
      <c r="BP83" s="139"/>
      <c r="BQ83" s="654">
        <f t="shared" si="277"/>
        <v>0</v>
      </c>
      <c r="BR83" s="638"/>
      <c r="BS83" s="110"/>
      <c r="BT83" s="110"/>
      <c r="BU83" s="202"/>
      <c r="BV83" s="201">
        <f t="shared" si="208"/>
        <v>731</v>
      </c>
      <c r="BW83" s="439"/>
      <c r="BX83" s="555"/>
      <c r="BY83" s="556"/>
      <c r="BZ83" s="556"/>
      <c r="CA83" s="556"/>
      <c r="CB83" s="81">
        <v>43706</v>
      </c>
      <c r="CC83" s="81">
        <v>43696</v>
      </c>
      <c r="CD83" s="81">
        <v>43706</v>
      </c>
      <c r="CE83" s="326">
        <f t="shared" si="229"/>
        <v>10</v>
      </c>
      <c r="CF83" s="341">
        <v>43951</v>
      </c>
      <c r="CG83" s="341"/>
      <c r="CH83" s="326" t="str">
        <f t="shared" si="230"/>
        <v>0</v>
      </c>
      <c r="CI83" s="81">
        <v>43871</v>
      </c>
      <c r="CJ83" s="81">
        <v>43885</v>
      </c>
      <c r="CK83" s="326">
        <f t="shared" si="231"/>
        <v>14</v>
      </c>
      <c r="CL83" s="81">
        <v>43871</v>
      </c>
      <c r="CM83" s="81">
        <v>43885</v>
      </c>
      <c r="CN83" s="326">
        <f t="shared" si="232"/>
        <v>14</v>
      </c>
      <c r="CO83" s="341">
        <v>43950</v>
      </c>
      <c r="CP83" s="341">
        <f ca="1">IF(CO83&lt;TODAY(),TODAY(),CO83)</f>
        <v>43950</v>
      </c>
      <c r="CQ83" s="343">
        <f t="shared" ca="1" si="247"/>
        <v>0</v>
      </c>
      <c r="CR83" s="290"/>
      <c r="CS83" s="339"/>
      <c r="CT83" s="330"/>
      <c r="CU83" s="331"/>
      <c r="CV83" s="332" t="str">
        <f t="shared" si="263"/>
        <v>0</v>
      </c>
      <c r="CW83" s="330">
        <v>44228</v>
      </c>
      <c r="CX83" s="449">
        <v>44270</v>
      </c>
      <c r="CY83" s="233"/>
      <c r="CZ83" s="284">
        <f t="shared" si="240"/>
        <v>1475.6666666666667</v>
      </c>
      <c r="DA83" s="332">
        <f t="shared" si="209"/>
        <v>42</v>
      </c>
      <c r="DB83" s="450">
        <v>12</v>
      </c>
      <c r="DC83" s="169">
        <f t="shared" si="210"/>
        <v>12</v>
      </c>
      <c r="DD83" s="330"/>
      <c r="DE83" s="335">
        <f t="shared" ca="1" si="278"/>
        <v>43950</v>
      </c>
      <c r="DF83" s="332" t="str">
        <f t="shared" ca="1" si="233"/>
        <v>0</v>
      </c>
      <c r="DG83" s="330"/>
      <c r="DH83" s="348">
        <f t="shared" ca="1" si="279"/>
        <v>43950</v>
      </c>
      <c r="DI83" s="333" t="str">
        <f t="shared" ca="1" si="212"/>
        <v>0</v>
      </c>
      <c r="DJ83" s="334"/>
      <c r="DK83" s="348">
        <f t="shared" ca="1" si="280"/>
        <v>43950</v>
      </c>
      <c r="DL83" s="332" t="str">
        <f t="shared" ca="1" si="214"/>
        <v>0</v>
      </c>
      <c r="DM83" s="335"/>
      <c r="DN83" s="335">
        <f t="shared" ca="1" si="281"/>
        <v>43950</v>
      </c>
      <c r="DO83" s="332" t="str">
        <f t="shared" ca="1" si="216"/>
        <v>0</v>
      </c>
      <c r="DP83" s="336"/>
      <c r="DQ83" s="336"/>
      <c r="DR83" s="332" t="str">
        <f t="shared" si="217"/>
        <v>0</v>
      </c>
      <c r="DS83" s="335"/>
      <c r="DT83" s="335">
        <f t="shared" ca="1" si="282"/>
        <v>43950</v>
      </c>
      <c r="DU83" s="332" t="str">
        <f t="shared" ca="1" si="219"/>
        <v>0</v>
      </c>
      <c r="DV83" s="335"/>
      <c r="DW83" s="335">
        <f t="shared" ca="1" si="283"/>
        <v>43950</v>
      </c>
      <c r="DX83" s="332" t="str">
        <f t="shared" ca="1" si="221"/>
        <v>0</v>
      </c>
      <c r="DY83" s="336"/>
      <c r="DZ83" s="336"/>
      <c r="EA83" s="336"/>
      <c r="EB83" s="477">
        <f t="shared" si="258"/>
        <v>44635</v>
      </c>
      <c r="EC83" s="476">
        <f>DATE(YEAR(EB83),MONTH(EB83),DAY(EB83))</f>
        <v>44635</v>
      </c>
      <c r="ED83" s="473">
        <f t="shared" si="248"/>
        <v>0</v>
      </c>
      <c r="EE83" s="605">
        <f t="shared" ca="1" si="284"/>
        <v>22.833333333333332</v>
      </c>
      <c r="EF83" s="537">
        <f t="shared" ca="1" si="285"/>
        <v>44680</v>
      </c>
      <c r="EG83" s="535"/>
      <c r="EH83" s="526"/>
      <c r="EI83" s="536">
        <f>DATE(YEAR(EC83),MONTH(EC83)+4,DAY(EC83)+2)</f>
        <v>44759</v>
      </c>
      <c r="EJ83" s="295"/>
      <c r="EK83" s="534">
        <f t="shared" si="242"/>
        <v>44666</v>
      </c>
      <c r="EL83" s="476">
        <f>DATE(YEAR(EC83),MONTH(EC83)+1,DAY(EC83))</f>
        <v>44666</v>
      </c>
      <c r="EM83" s="625"/>
      <c r="EN83" s="471">
        <f>(EL83-EK83)/30</f>
        <v>0</v>
      </c>
      <c r="EO83" s="461"/>
      <c r="EP83" s="173">
        <f t="shared" si="259"/>
        <v>0</v>
      </c>
      <c r="EQ83" s="77"/>
      <c r="ER83" s="353"/>
      <c r="ES83" s="353">
        <v>0</v>
      </c>
      <c r="ET83" s="353"/>
      <c r="EU83" s="353"/>
      <c r="EV83" s="353"/>
      <c r="EW83" s="483">
        <f t="shared" si="260"/>
        <v>0</v>
      </c>
      <c r="EX83" s="350"/>
      <c r="EY83" s="362"/>
      <c r="EZ83" s="350"/>
      <c r="FA83" s="350"/>
      <c r="FB83" s="126">
        <f t="shared" ca="1" si="234"/>
        <v>44680</v>
      </c>
      <c r="FC83" s="80"/>
      <c r="FD83" s="80"/>
      <c r="FE83" s="80"/>
      <c r="FF83" s="80"/>
      <c r="FG83" s="80"/>
      <c r="FH83" s="31"/>
      <c r="FI83" s="194">
        <f t="shared" si="289"/>
        <v>45000</v>
      </c>
      <c r="FJ83" s="194"/>
      <c r="FK83" s="31"/>
      <c r="FL83" s="31"/>
      <c r="FM83" s="31"/>
      <c r="FN83" s="31"/>
      <c r="FO83" s="31"/>
      <c r="FP83" s="31"/>
      <c r="FQ83" s="31"/>
      <c r="FR83" s="31"/>
      <c r="FS83" s="31"/>
      <c r="FT83" s="31"/>
      <c r="FU83" s="31"/>
      <c r="FV83" s="31"/>
      <c r="FW83" s="31"/>
      <c r="FX83" s="529"/>
      <c r="FY83" s="652">
        <f t="shared" si="249"/>
        <v>2088510.7</v>
      </c>
      <c r="FZ83" s="550">
        <f t="shared" si="264"/>
        <v>2088510.7</v>
      </c>
      <c r="GA83" s="267"/>
      <c r="GB83" s="602">
        <f t="shared" si="286"/>
        <v>416890</v>
      </c>
      <c r="GC83" s="267" t="e">
        <f t="shared" si="250"/>
        <v>#DIV/0!</v>
      </c>
      <c r="GD83" s="267">
        <f t="shared" si="261"/>
        <v>65265.959374999999</v>
      </c>
      <c r="GE83" s="45"/>
      <c r="GF83" s="519"/>
      <c r="GG83" s="267" t="e">
        <f>#REF!/AD83</f>
        <v>#REF!</v>
      </c>
      <c r="GH83" s="45">
        <v>1671620.7</v>
      </c>
      <c r="GI83" s="267"/>
      <c r="GJ83" s="267"/>
      <c r="GK83" s="407">
        <f t="shared" si="262"/>
        <v>52238.146874999999</v>
      </c>
      <c r="GL83" s="623"/>
      <c r="GM83" s="45">
        <v>414720</v>
      </c>
      <c r="GN83" s="45"/>
      <c r="GO83" s="23">
        <f t="shared" si="251"/>
        <v>0.19857212127282853</v>
      </c>
      <c r="GP83" s="60"/>
      <c r="GQ83" s="45"/>
      <c r="GR83" s="45">
        <v>2170</v>
      </c>
      <c r="GS83" s="28">
        <f t="shared" si="222"/>
        <v>12960</v>
      </c>
      <c r="GT83" s="28">
        <f t="shared" si="223"/>
        <v>12960</v>
      </c>
      <c r="GU83" s="682"/>
      <c r="GV83" s="682"/>
      <c r="GW83" s="680" t="e">
        <f>(#REF!+#REF!+GV83)/AD83</f>
        <v>#REF!</v>
      </c>
      <c r="GX83" s="682"/>
      <c r="GY83" s="682">
        <f t="shared" si="224"/>
        <v>12960</v>
      </c>
      <c r="GZ83" s="681" t="e">
        <f>(#REF!+#REF!+GV83+GX83)/(GU83+#REF!-HA83)</f>
        <v>#REF!</v>
      </c>
      <c r="HA83" s="682"/>
      <c r="HB83" s="682"/>
      <c r="HC83" s="45"/>
      <c r="HD83" s="602"/>
      <c r="HE83" s="608">
        <f t="shared" si="225"/>
        <v>0</v>
      </c>
      <c r="HF83" s="602">
        <f t="shared" si="226"/>
        <v>2088510.7</v>
      </c>
      <c r="HG83" s="602">
        <f t="shared" ca="1" si="288"/>
        <v>731740.97518248181</v>
      </c>
      <c r="HH83" s="608">
        <f t="shared" ca="1" si="287"/>
        <v>0.35036496350364965</v>
      </c>
      <c r="HI83" s="602"/>
      <c r="HJ83" s="602">
        <f t="shared" si="257"/>
        <v>416890</v>
      </c>
      <c r="HK83" s="602">
        <f t="shared" si="253"/>
        <v>0</v>
      </c>
      <c r="HL83" s="602"/>
      <c r="HM83" s="673"/>
      <c r="HN83" s="269"/>
      <c r="HO83" s="673"/>
      <c r="HP83" s="673">
        <f t="shared" si="236"/>
        <v>0</v>
      </c>
      <c r="HQ83" s="539"/>
      <c r="HR83" s="539"/>
      <c r="HS83" s="539"/>
      <c r="HT83" s="539"/>
      <c r="HU83" s="539"/>
      <c r="HV83" s="673"/>
      <c r="HW83" s="673">
        <f t="shared" si="199"/>
        <v>0</v>
      </c>
      <c r="HX83" s="539"/>
    </row>
    <row r="84" spans="1:232" ht="30" hidden="1" customHeight="1">
      <c r="A84" s="63" t="s">
        <v>273</v>
      </c>
      <c r="B84" s="31" t="s">
        <v>21</v>
      </c>
      <c r="C84" s="31" t="s">
        <v>90</v>
      </c>
      <c r="D84" s="31">
        <v>2013</v>
      </c>
      <c r="E84" s="31" t="s">
        <v>22</v>
      </c>
      <c r="F84" s="31"/>
      <c r="G84" s="74" t="s">
        <v>464</v>
      </c>
      <c r="H84" s="31" t="s">
        <v>187</v>
      </c>
      <c r="I84" s="31"/>
      <c r="J84" s="31"/>
      <c r="K84" s="180"/>
      <c r="L84" s="114" t="s">
        <v>44</v>
      </c>
      <c r="M84" s="115"/>
      <c r="N84" s="116" t="s">
        <v>105</v>
      </c>
      <c r="O84" s="142">
        <v>2330</v>
      </c>
      <c r="P84" s="142">
        <f>Q84</f>
        <v>800000</v>
      </c>
      <c r="Q84" s="142">
        <v>800000</v>
      </c>
      <c r="R84" s="142">
        <f>P84/AD84</f>
        <v>18181.81818181818</v>
      </c>
      <c r="S84" s="142">
        <f>P84/O84</f>
        <v>343.34763948497852</v>
      </c>
      <c r="T84" s="142">
        <f>Q84/O84</f>
        <v>343.34763948497852</v>
      </c>
      <c r="U84" s="142">
        <f>Q84/AK84</f>
        <v>219.88532980050908</v>
      </c>
      <c r="V84" s="142">
        <f>Q84/AD84</f>
        <v>18181.81818181818</v>
      </c>
      <c r="W84" s="142">
        <f>O84/AD84</f>
        <v>52.954545454545453</v>
      </c>
      <c r="X84" s="143"/>
      <c r="Y84" s="522">
        <f t="shared" si="206"/>
        <v>188.8412017167382</v>
      </c>
      <c r="Z84" s="143" t="s">
        <v>153</v>
      </c>
      <c r="AA84" s="143">
        <v>580</v>
      </c>
      <c r="AB84" s="144"/>
      <c r="AC84" s="31" t="s">
        <v>9</v>
      </c>
      <c r="AD84" s="493">
        <f t="shared" si="243"/>
        <v>44</v>
      </c>
      <c r="AE84" s="493">
        <f t="shared" si="207"/>
        <v>44</v>
      </c>
      <c r="AF84" s="31">
        <v>44</v>
      </c>
      <c r="AG84" s="42"/>
      <c r="AH84" s="42"/>
      <c r="AI84" s="42"/>
      <c r="AJ84" s="796">
        <v>3139.3500000000004</v>
      </c>
      <c r="AK84" s="276">
        <v>3638.2599999999993</v>
      </c>
      <c r="AL84" s="586">
        <f t="shared" si="244"/>
        <v>71.348863636363646</v>
      </c>
      <c r="AM84" s="8">
        <f t="shared" si="245"/>
        <v>82.687727272727258</v>
      </c>
      <c r="AN84" s="35">
        <v>7.4111716116393511</v>
      </c>
      <c r="AO84" s="35">
        <v>6.39</v>
      </c>
      <c r="AP84" s="35">
        <v>528.77867270454544</v>
      </c>
      <c r="AQ84" s="53">
        <f>6/AD84</f>
        <v>0.13636363636363635</v>
      </c>
      <c r="AR84" s="53"/>
      <c r="AS84" s="53">
        <f>17/AF84</f>
        <v>0.38636363636363635</v>
      </c>
      <c r="AT84" s="53">
        <f>17/AD84</f>
        <v>0.38636363636363635</v>
      </c>
      <c r="AU84" s="53">
        <f>4/AD84</f>
        <v>9.0909090909090912E-2</v>
      </c>
      <c r="AV84" s="35">
        <v>1428</v>
      </c>
      <c r="AW84" s="51">
        <v>0</v>
      </c>
      <c r="AX84" s="53">
        <f>AW84/O84</f>
        <v>0</v>
      </c>
      <c r="AY84" s="35">
        <v>4</v>
      </c>
      <c r="AZ84" s="34" t="s">
        <v>398</v>
      </c>
      <c r="BA84" s="31" t="s">
        <v>98</v>
      </c>
      <c r="BB84" s="31"/>
      <c r="BC84" s="31"/>
      <c r="BD84" s="31"/>
      <c r="BE84" s="31"/>
      <c r="BF84" s="31"/>
      <c r="BG84" s="31"/>
      <c r="BH84" s="126">
        <v>41348</v>
      </c>
      <c r="BI84" s="126"/>
      <c r="BJ84" s="660">
        <v>41363</v>
      </c>
      <c r="BK84" s="660">
        <v>41446</v>
      </c>
      <c r="BL84" s="661"/>
      <c r="BM84" s="659">
        <f t="shared" si="246"/>
        <v>2.7666666666666666</v>
      </c>
      <c r="BN84" s="578"/>
      <c r="BO84" s="110">
        <v>41550</v>
      </c>
      <c r="BP84" s="139">
        <v>41576</v>
      </c>
      <c r="BQ84" s="655">
        <f t="shared" si="277"/>
        <v>0.8666666666666667</v>
      </c>
      <c r="BR84" s="139"/>
      <c r="BS84" s="110">
        <f>DATE(YEAR(BP84),MONTH(BP84)+3,DAY(BP84))</f>
        <v>41668</v>
      </c>
      <c r="BT84" s="110"/>
      <c r="BU84" s="202">
        <v>41671</v>
      </c>
      <c r="BV84" s="201">
        <f t="shared" si="208"/>
        <v>42401</v>
      </c>
      <c r="BW84" s="439">
        <f>31422+134351</f>
        <v>165773</v>
      </c>
      <c r="BX84" s="201" t="str">
        <f>IF(EL84&gt;BV84,"oui","non")</f>
        <v>oui</v>
      </c>
      <c r="BY84" s="557">
        <f>(BV84-EL84)/30</f>
        <v>-9</v>
      </c>
      <c r="BZ84" s="439" t="str">
        <f>IF((BY84*EO84)&lt;0,"0",BY84*EO84)</f>
        <v>0</v>
      </c>
      <c r="CA84" s="439">
        <f>BW84-BZ84</f>
        <v>165773</v>
      </c>
      <c r="CB84" s="81"/>
      <c r="CC84" s="81"/>
      <c r="CD84" s="81"/>
      <c r="CE84" s="326" t="str">
        <f t="shared" si="229"/>
        <v>0</v>
      </c>
      <c r="CF84" s="81"/>
      <c r="CG84" s="81"/>
      <c r="CH84" s="326" t="str">
        <f t="shared" si="230"/>
        <v>0</v>
      </c>
      <c r="CI84" s="81"/>
      <c r="CJ84" s="81"/>
      <c r="CK84" s="326" t="str">
        <f t="shared" si="231"/>
        <v>0</v>
      </c>
      <c r="CL84" s="81"/>
      <c r="CM84" s="81"/>
      <c r="CN84" s="326" t="str">
        <f t="shared" si="232"/>
        <v>0</v>
      </c>
      <c r="CO84" s="83"/>
      <c r="CP84" s="365"/>
      <c r="CQ84" s="326" t="str">
        <f t="shared" si="247"/>
        <v>0</v>
      </c>
      <c r="CR84" s="292"/>
      <c r="CS84" s="159"/>
      <c r="CT84" s="81"/>
      <c r="CU84" s="159"/>
      <c r="CV84" s="326" t="str">
        <f t="shared" si="263"/>
        <v>0</v>
      </c>
      <c r="CW84" s="81"/>
      <c r="CX84" s="236">
        <v>41766</v>
      </c>
      <c r="CY84" s="230">
        <v>2014</v>
      </c>
      <c r="CZ84" s="285">
        <f t="shared" si="240"/>
        <v>10.666666666666666</v>
      </c>
      <c r="DA84" s="326" t="str">
        <f t="shared" si="209"/>
        <v>0</v>
      </c>
      <c r="DB84" s="76">
        <v>15</v>
      </c>
      <c r="DC84" s="76">
        <f t="shared" si="210"/>
        <v>28</v>
      </c>
      <c r="DD84" s="214"/>
      <c r="DE84" s="213"/>
      <c r="DF84" s="448" t="str">
        <f t="shared" si="233"/>
        <v>0</v>
      </c>
      <c r="DG84" s="214"/>
      <c r="DH84" s="395"/>
      <c r="DI84" s="396" t="str">
        <f t="shared" si="212"/>
        <v>0</v>
      </c>
      <c r="DJ84" s="179"/>
      <c r="DK84" s="395"/>
      <c r="DL84" s="448" t="str">
        <f t="shared" si="214"/>
        <v>0</v>
      </c>
      <c r="DM84" s="213"/>
      <c r="DN84" s="214"/>
      <c r="DO84" s="448" t="str">
        <f t="shared" si="216"/>
        <v>0</v>
      </c>
      <c r="DP84" s="220"/>
      <c r="DQ84" s="220"/>
      <c r="DR84" s="448" t="str">
        <f t="shared" si="217"/>
        <v>0</v>
      </c>
      <c r="DS84" s="220"/>
      <c r="DT84" s="220"/>
      <c r="DU84" s="448" t="str">
        <f t="shared" si="219"/>
        <v>0</v>
      </c>
      <c r="DV84" s="214"/>
      <c r="DW84" s="214"/>
      <c r="DX84" s="448" t="str">
        <f t="shared" si="221"/>
        <v>0</v>
      </c>
      <c r="DY84" s="220"/>
      <c r="DZ84" s="220"/>
      <c r="EA84" s="220"/>
      <c r="EB84" s="293">
        <f t="shared" si="258"/>
        <v>42223</v>
      </c>
      <c r="EC84" s="238">
        <v>42640</v>
      </c>
      <c r="ED84" s="468">
        <f t="shared" si="248"/>
        <v>13.9</v>
      </c>
      <c r="EE84" s="752"/>
      <c r="EF84" s="238"/>
      <c r="EG84" s="806">
        <v>42745</v>
      </c>
      <c r="EH84" s="75">
        <v>42523</v>
      </c>
      <c r="EI84" s="754">
        <f>DATE(YEAR(EC84),MONTH(EC84)+1,DAY(EC84))</f>
        <v>42670</v>
      </c>
      <c r="EJ84" s="293"/>
      <c r="EK84" s="533">
        <f t="shared" si="242"/>
        <v>42254</v>
      </c>
      <c r="EL84" s="238">
        <v>42671</v>
      </c>
      <c r="EM84" s="232">
        <v>2016</v>
      </c>
      <c r="EN84" s="465">
        <f>(DATEDIF(EK84,EL84,"d"))/30</f>
        <v>13.9</v>
      </c>
      <c r="EO84" s="455">
        <v>27218</v>
      </c>
      <c r="EP84" s="213">
        <f t="shared" si="259"/>
        <v>378330.2</v>
      </c>
      <c r="EQ84" s="75" t="s">
        <v>105</v>
      </c>
      <c r="ER84" s="349"/>
      <c r="ES84" s="454">
        <f>HC84</f>
        <v>0</v>
      </c>
      <c r="ET84" s="353">
        <v>285000</v>
      </c>
      <c r="EU84" s="353"/>
      <c r="EV84" s="353">
        <f>190041.07*1.021</f>
        <v>194031.93247</v>
      </c>
      <c r="EW84" s="483">
        <f t="shared" si="260"/>
        <v>2.6509981000663596E-2</v>
      </c>
      <c r="EX84" s="350"/>
      <c r="EY84" s="362"/>
      <c r="EZ84" s="350"/>
      <c r="FA84" s="350"/>
      <c r="FB84" s="126">
        <f t="shared" si="234"/>
        <v>731</v>
      </c>
      <c r="FC84" s="218" t="s">
        <v>105</v>
      </c>
      <c r="FD84" s="137">
        <v>42851</v>
      </c>
      <c r="FE84" s="214" t="s">
        <v>105</v>
      </c>
      <c r="FF84" s="214" t="s">
        <v>105</v>
      </c>
      <c r="FG84" s="167">
        <v>42912</v>
      </c>
      <c r="FH84" s="137" t="s">
        <v>105</v>
      </c>
      <c r="FI84" s="137">
        <f t="shared" si="289"/>
        <v>43005</v>
      </c>
      <c r="FJ84" s="444">
        <v>205656</v>
      </c>
      <c r="FK84" s="167">
        <v>42705</v>
      </c>
      <c r="FL84" s="167">
        <v>42873</v>
      </c>
      <c r="FM84" s="167"/>
      <c r="FN84" s="74"/>
      <c r="FO84" s="74"/>
      <c r="FP84" s="74"/>
      <c r="FQ84" s="31"/>
      <c r="FR84" s="33" t="s">
        <v>558</v>
      </c>
      <c r="FS84" s="31"/>
      <c r="FT84" s="123">
        <v>42955</v>
      </c>
      <c r="FU84" s="123">
        <v>43139</v>
      </c>
      <c r="FV84" s="31"/>
      <c r="FW84" s="31"/>
      <c r="FX84" s="388">
        <v>7150691</v>
      </c>
      <c r="FY84" s="652">
        <f t="shared" si="249"/>
        <v>7319203</v>
      </c>
      <c r="FZ84" s="550">
        <f t="shared" si="264"/>
        <v>7319203</v>
      </c>
      <c r="GA84" s="500">
        <f>FZ84</f>
        <v>7319203</v>
      </c>
      <c r="GB84" s="610">
        <f>GM84+GN84+GR84</f>
        <v>15486</v>
      </c>
      <c r="GC84" s="28">
        <f t="shared" si="250"/>
        <v>2011.7317069148444</v>
      </c>
      <c r="GD84" s="28">
        <f t="shared" si="261"/>
        <v>166345.52272727274</v>
      </c>
      <c r="GE84" s="45">
        <v>2438948</v>
      </c>
      <c r="GF84" s="417"/>
      <c r="GG84" s="28">
        <f>GE84/AD84</f>
        <v>55430.63636363636</v>
      </c>
      <c r="GH84" s="45">
        <f>+GI84+GJ84</f>
        <v>4693223</v>
      </c>
      <c r="GI84" s="59">
        <v>982573</v>
      </c>
      <c r="GJ84" s="59">
        <v>3710650</v>
      </c>
      <c r="GK84" s="407">
        <f t="shared" si="262"/>
        <v>106664.15909090909</v>
      </c>
      <c r="GL84" s="45">
        <v>171546</v>
      </c>
      <c r="GM84" s="45">
        <v>1</v>
      </c>
      <c r="GN84" s="45"/>
      <c r="GO84" s="23">
        <f t="shared" si="251"/>
        <v>1.3662689776468832E-7</v>
      </c>
      <c r="GP84" s="576"/>
      <c r="GQ84" s="576"/>
      <c r="GR84" s="45">
        <v>15485</v>
      </c>
      <c r="GS84" s="28">
        <f t="shared" si="222"/>
        <v>2.2727272727272728E-2</v>
      </c>
      <c r="GT84" s="28">
        <f t="shared" si="223"/>
        <v>55430.659090909088</v>
      </c>
      <c r="GU84" s="682"/>
      <c r="GV84" s="682"/>
      <c r="GW84" s="680" t="e">
        <f>(#REF!+#REF!+GV84)/AD84</f>
        <v>#REF!</v>
      </c>
      <c r="GX84" s="682"/>
      <c r="GY84" s="682">
        <f t="shared" si="224"/>
        <v>55430.659090909088</v>
      </c>
      <c r="GZ84" s="681">
        <f>(GE84+GM84+GV84+GX84)/(GU84+FZ84-HA84)</f>
        <v>0.33322603567628878</v>
      </c>
      <c r="HA84" s="682"/>
      <c r="HB84" s="682"/>
      <c r="HC84" s="45">
        <v>0</v>
      </c>
      <c r="HD84" s="602"/>
      <c r="HE84" s="608">
        <f t="shared" si="225"/>
        <v>0</v>
      </c>
      <c r="HF84" s="616">
        <f t="shared" si="226"/>
        <v>7319203</v>
      </c>
      <c r="HG84" s="602">
        <f t="shared" ca="1" si="288"/>
        <v>7319203</v>
      </c>
      <c r="HH84" s="602"/>
      <c r="HI84" s="602"/>
      <c r="HJ84" s="602">
        <f t="shared" si="257"/>
        <v>15486</v>
      </c>
      <c r="HK84" s="609">
        <f t="shared" si="253"/>
        <v>0</v>
      </c>
      <c r="HL84" s="609"/>
      <c r="HM84" s="673">
        <v>992251.75</v>
      </c>
      <c r="HN84" s="62">
        <v>800000</v>
      </c>
      <c r="HO84" s="673">
        <v>474739.22</v>
      </c>
      <c r="HP84" s="673">
        <f t="shared" si="236"/>
        <v>4351790.24</v>
      </c>
      <c r="HQ84" s="539">
        <v>2271946</v>
      </c>
      <c r="HR84" s="539">
        <v>423123.99</v>
      </c>
      <c r="HS84" s="539">
        <v>180986.42</v>
      </c>
      <c r="HT84" s="539">
        <v>909381</v>
      </c>
      <c r="HU84" s="539">
        <v>566352.82999999996</v>
      </c>
      <c r="HV84" s="673">
        <v>1178545</v>
      </c>
      <c r="HW84" s="673">
        <f t="shared" si="199"/>
        <v>6997326.21</v>
      </c>
      <c r="HX84" s="539"/>
    </row>
    <row r="85" spans="1:232" ht="41.25" customHeight="1">
      <c r="A85" s="510" t="s">
        <v>334</v>
      </c>
      <c r="B85" s="31" t="s">
        <v>14</v>
      </c>
      <c r="C85" s="31" t="s">
        <v>90</v>
      </c>
      <c r="D85" s="31">
        <v>2020</v>
      </c>
      <c r="E85" s="31"/>
      <c r="F85" s="31" t="s">
        <v>864</v>
      </c>
      <c r="G85" s="31" t="s">
        <v>142</v>
      </c>
      <c r="H85" s="31" t="s">
        <v>817</v>
      </c>
      <c r="I85" s="31"/>
      <c r="J85" s="31"/>
      <c r="K85" s="180" t="s">
        <v>363</v>
      </c>
      <c r="L85" s="114" t="s">
        <v>44</v>
      </c>
      <c r="M85" s="115" t="s">
        <v>362</v>
      </c>
      <c r="N85" s="116">
        <v>37125</v>
      </c>
      <c r="O85" s="159"/>
      <c r="P85" s="159"/>
      <c r="Q85" s="159"/>
      <c r="R85" s="159"/>
      <c r="S85" s="159"/>
      <c r="T85" s="386"/>
      <c r="U85" s="386"/>
      <c r="V85" s="386"/>
      <c r="W85" s="159"/>
      <c r="X85" s="143"/>
      <c r="Y85" s="525" t="e">
        <f t="shared" si="206"/>
        <v>#DIV/0!</v>
      </c>
      <c r="Z85" s="143"/>
      <c r="AA85" s="143"/>
      <c r="AB85" s="144"/>
      <c r="AC85" s="31" t="s">
        <v>308</v>
      </c>
      <c r="AD85" s="493">
        <f t="shared" si="243"/>
        <v>18</v>
      </c>
      <c r="AE85" s="493">
        <f t="shared" si="207"/>
        <v>0</v>
      </c>
      <c r="AF85" s="42"/>
      <c r="AG85" s="42"/>
      <c r="AH85" s="42"/>
      <c r="AI85" s="131">
        <v>18</v>
      </c>
      <c r="AJ85" s="796"/>
      <c r="AK85" s="276"/>
      <c r="AL85" s="586">
        <f t="shared" si="244"/>
        <v>0</v>
      </c>
      <c r="AM85" s="8">
        <f t="shared" si="245"/>
        <v>0</v>
      </c>
      <c r="AN85" s="35"/>
      <c r="AO85" s="35"/>
      <c r="AP85" s="35"/>
      <c r="AQ85" s="53"/>
      <c r="AR85" s="53"/>
      <c r="AS85" s="53"/>
      <c r="AT85" s="53"/>
      <c r="AU85" s="53"/>
      <c r="AV85" s="35"/>
      <c r="AW85" s="51"/>
      <c r="AX85" s="53"/>
      <c r="AY85" s="35"/>
      <c r="AZ85" s="31"/>
      <c r="BA85" s="31"/>
      <c r="BB85" s="160"/>
      <c r="BC85" s="31"/>
      <c r="BD85" s="31"/>
      <c r="BE85" s="31"/>
      <c r="BF85" s="31"/>
      <c r="BG85" s="31"/>
      <c r="BH85" s="73">
        <v>43816</v>
      </c>
      <c r="BI85" s="31"/>
      <c r="BJ85" s="660"/>
      <c r="BK85" s="660"/>
      <c r="BL85" s="661"/>
      <c r="BM85" s="659">
        <f t="shared" si="246"/>
        <v>0</v>
      </c>
      <c r="BN85" s="578" t="s">
        <v>235</v>
      </c>
      <c r="BO85" s="110"/>
      <c r="BP85" s="139"/>
      <c r="BQ85" s="654">
        <f t="shared" si="277"/>
        <v>0</v>
      </c>
      <c r="BR85" s="638"/>
      <c r="BS85" s="110"/>
      <c r="BT85" s="110"/>
      <c r="BU85" s="202"/>
      <c r="BV85" s="201">
        <f t="shared" si="208"/>
        <v>731</v>
      </c>
      <c r="BW85" s="439"/>
      <c r="BX85" s="555"/>
      <c r="BY85" s="556"/>
      <c r="BZ85" s="556"/>
      <c r="CA85" s="556"/>
      <c r="CB85" s="81">
        <v>43703</v>
      </c>
      <c r="CC85" s="81">
        <v>43696</v>
      </c>
      <c r="CD85" s="81">
        <v>43703</v>
      </c>
      <c r="CE85" s="326">
        <f t="shared" si="229"/>
        <v>7</v>
      </c>
      <c r="CF85" s="341">
        <v>43951</v>
      </c>
      <c r="CG85" s="341"/>
      <c r="CH85" s="343" t="str">
        <f t="shared" si="230"/>
        <v>0</v>
      </c>
      <c r="CI85" s="81">
        <v>43906</v>
      </c>
      <c r="CJ85" s="81">
        <v>43906</v>
      </c>
      <c r="CK85" s="326">
        <f t="shared" si="231"/>
        <v>0</v>
      </c>
      <c r="CL85" s="81">
        <v>43906</v>
      </c>
      <c r="CM85" s="81">
        <v>43906</v>
      </c>
      <c r="CN85" s="326">
        <f t="shared" si="232"/>
        <v>0</v>
      </c>
      <c r="CO85" s="341">
        <v>43968</v>
      </c>
      <c r="CP85" s="341">
        <f ca="1">IF(CO85&lt;TODAY(),TODAY(),CO85)</f>
        <v>43968</v>
      </c>
      <c r="CQ85" s="343">
        <f t="shared" ca="1" si="247"/>
        <v>0</v>
      </c>
      <c r="CR85" s="290"/>
      <c r="CS85" s="339"/>
      <c r="CT85" s="330"/>
      <c r="CU85" s="331"/>
      <c r="CV85" s="332" t="str">
        <f t="shared" si="263"/>
        <v>0</v>
      </c>
      <c r="CW85" s="330">
        <v>44228</v>
      </c>
      <c r="CX85" s="449">
        <v>44270</v>
      </c>
      <c r="CY85" s="233"/>
      <c r="CZ85" s="284">
        <f t="shared" si="240"/>
        <v>1475.6666666666667</v>
      </c>
      <c r="DA85" s="332">
        <f t="shared" si="209"/>
        <v>42</v>
      </c>
      <c r="DB85" s="450">
        <v>12</v>
      </c>
      <c r="DC85" s="169">
        <f t="shared" si="210"/>
        <v>12</v>
      </c>
      <c r="DD85" s="330"/>
      <c r="DE85" s="335">
        <f ca="1">IF(DD85&lt;TODAY(),TODAY(),DD85)</f>
        <v>43950</v>
      </c>
      <c r="DF85" s="332" t="str">
        <f t="shared" ca="1" si="233"/>
        <v>0</v>
      </c>
      <c r="DG85" s="330"/>
      <c r="DH85" s="348">
        <f ca="1">IF(DG85&lt;TODAY(),TODAY(),DG85)</f>
        <v>43950</v>
      </c>
      <c r="DI85" s="333" t="str">
        <f t="shared" ca="1" si="212"/>
        <v>0</v>
      </c>
      <c r="DJ85" s="334"/>
      <c r="DK85" s="348">
        <f ca="1">IF(DJ85&lt;TODAY(),TODAY(),DJ85)</f>
        <v>43950</v>
      </c>
      <c r="DL85" s="332" t="str">
        <f t="shared" ca="1" si="214"/>
        <v>0</v>
      </c>
      <c r="DM85" s="335"/>
      <c r="DN85" s="335">
        <f ca="1">IF(DM85&lt;TODAY(),TODAY(),DM85)</f>
        <v>43950</v>
      </c>
      <c r="DO85" s="332" t="str">
        <f t="shared" ca="1" si="216"/>
        <v>0</v>
      </c>
      <c r="DP85" s="336"/>
      <c r="DQ85" s="336"/>
      <c r="DR85" s="332" t="str">
        <f t="shared" si="217"/>
        <v>0</v>
      </c>
      <c r="DS85" s="335"/>
      <c r="DT85" s="335">
        <f ca="1">IF(DS85&lt;TODAY(),TODAY(),DS85)</f>
        <v>43950</v>
      </c>
      <c r="DU85" s="332" t="str">
        <f t="shared" ca="1" si="219"/>
        <v>0</v>
      </c>
      <c r="DV85" s="335"/>
      <c r="DW85" s="335">
        <f ca="1">IF(DV85&lt;TODAY(),TODAY(),DV85)</f>
        <v>43950</v>
      </c>
      <c r="DX85" s="332" t="str">
        <f t="shared" ca="1" si="221"/>
        <v>0</v>
      </c>
      <c r="DY85" s="336"/>
      <c r="DZ85" s="336"/>
      <c r="EA85" s="336"/>
      <c r="EB85" s="477">
        <f t="shared" si="258"/>
        <v>44635</v>
      </c>
      <c r="EC85" s="476">
        <f>DATE(YEAR(EB85),MONTH(EB85),DAY(EB85))</f>
        <v>44635</v>
      </c>
      <c r="ED85" s="473">
        <f t="shared" si="248"/>
        <v>0</v>
      </c>
      <c r="EE85" s="605">
        <f ca="1">IF(((EC85-TODAY())/30)&lt;0,0,(EC85-TODAY())/30)</f>
        <v>22.833333333333332</v>
      </c>
      <c r="EF85" s="537">
        <f ca="1">DATE(YEAR(DH85)+2,MONTH(DH85),DAY(DH85))</f>
        <v>44680</v>
      </c>
      <c r="EG85" s="535"/>
      <c r="EH85" s="526"/>
      <c r="EI85" s="536">
        <f>DATE(YEAR(EC85),MONTH(EC85)+4,DAY(EC85)+2)</f>
        <v>44759</v>
      </c>
      <c r="EJ85" s="295"/>
      <c r="EK85" s="476">
        <f t="shared" si="242"/>
        <v>44666</v>
      </c>
      <c r="EL85" s="476">
        <f>DATE(YEAR(EC85),MONTH(EC85)+1,DAY(EC85))</f>
        <v>44666</v>
      </c>
      <c r="EM85" s="368"/>
      <c r="EN85" s="471">
        <f>(EL85-EK85)/30</f>
        <v>0</v>
      </c>
      <c r="EO85" s="461"/>
      <c r="EP85" s="173">
        <f t="shared" si="259"/>
        <v>0</v>
      </c>
      <c r="EQ85" s="77"/>
      <c r="ER85" s="353"/>
      <c r="ES85" s="353">
        <v>0</v>
      </c>
      <c r="ET85" s="353"/>
      <c r="EU85" s="353"/>
      <c r="EV85" s="353"/>
      <c r="EW85" s="483">
        <f t="shared" si="260"/>
        <v>0</v>
      </c>
      <c r="EX85" s="350"/>
      <c r="EY85" s="362"/>
      <c r="EZ85" s="350"/>
      <c r="FA85" s="350"/>
      <c r="FB85" s="126">
        <f t="shared" ca="1" si="234"/>
        <v>44680</v>
      </c>
      <c r="FC85" s="80"/>
      <c r="FD85" s="80"/>
      <c r="FE85" s="80"/>
      <c r="FF85" s="80"/>
      <c r="FG85" s="80"/>
      <c r="FH85" s="31"/>
      <c r="FI85" s="194">
        <f t="shared" si="289"/>
        <v>45000</v>
      </c>
      <c r="FJ85" s="194"/>
      <c r="FK85" s="31"/>
      <c r="FL85" s="31"/>
      <c r="FM85" s="31"/>
      <c r="FN85" s="31"/>
      <c r="FO85" s="31"/>
      <c r="FP85" s="31"/>
      <c r="FQ85" s="31"/>
      <c r="FR85" s="31"/>
      <c r="FS85" s="31"/>
      <c r="FT85" s="31"/>
      <c r="FU85" s="31"/>
      <c r="FV85" s="31"/>
      <c r="FW85" s="31"/>
      <c r="FX85" s="529"/>
      <c r="FY85" s="652">
        <f t="shared" si="249"/>
        <v>1355070.46</v>
      </c>
      <c r="FZ85" s="550">
        <f t="shared" si="264"/>
        <v>1355070.46</v>
      </c>
      <c r="GA85" s="267"/>
      <c r="GB85" s="602">
        <f>GM85+GN85+GR85+GV85</f>
        <v>234750</v>
      </c>
      <c r="GC85" s="267" t="e">
        <f t="shared" si="250"/>
        <v>#DIV/0!</v>
      </c>
      <c r="GD85" s="267">
        <f t="shared" si="261"/>
        <v>75281.69222222222</v>
      </c>
      <c r="GE85" s="45"/>
      <c r="GF85" s="519"/>
      <c r="GG85" s="267" t="e">
        <f>#REF!/AD85</f>
        <v>#REF!</v>
      </c>
      <c r="GH85" s="45">
        <v>1120320.46</v>
      </c>
      <c r="GI85" s="267"/>
      <c r="GJ85" s="267"/>
      <c r="GK85" s="407">
        <f t="shared" si="262"/>
        <v>62240.025555555556</v>
      </c>
      <c r="GL85" s="623"/>
      <c r="GM85" s="45">
        <v>233280</v>
      </c>
      <c r="GN85" s="45"/>
      <c r="GO85" s="23">
        <f t="shared" si="251"/>
        <v>0.17215340964631462</v>
      </c>
      <c r="GP85" s="60"/>
      <c r="GQ85" s="45"/>
      <c r="GR85" s="45">
        <v>1470</v>
      </c>
      <c r="GS85" s="28">
        <f t="shared" si="222"/>
        <v>12960</v>
      </c>
      <c r="GT85" s="28">
        <f t="shared" si="223"/>
        <v>12960</v>
      </c>
      <c r="GU85" s="682"/>
      <c r="GV85" s="682"/>
      <c r="GW85" s="680" t="e">
        <f>(#REF!+#REF!+GV85)/AD85</f>
        <v>#REF!</v>
      </c>
      <c r="GX85" s="682"/>
      <c r="GY85" s="682">
        <f t="shared" si="224"/>
        <v>12960</v>
      </c>
      <c r="GZ85" s="681" t="e">
        <f>(#REF!+#REF!+GV85+GX85)/(GU85+#REF!-HA85)</f>
        <v>#REF!</v>
      </c>
      <c r="HA85" s="682"/>
      <c r="HB85" s="682"/>
      <c r="HC85" s="45"/>
      <c r="HD85" s="602"/>
      <c r="HE85" s="608">
        <f t="shared" si="225"/>
        <v>0</v>
      </c>
      <c r="HF85" s="602">
        <f t="shared" si="226"/>
        <v>1355070.46</v>
      </c>
      <c r="HG85" s="602">
        <f t="shared" ca="1" si="288"/>
        <v>474769.21226277371</v>
      </c>
      <c r="HH85" s="608">
        <f ca="1">(HD85+HG85)/FZ85</f>
        <v>0.35036496350364965</v>
      </c>
      <c r="HI85" s="602"/>
      <c r="HJ85" s="602">
        <f t="shared" si="257"/>
        <v>234750</v>
      </c>
      <c r="HK85" s="602">
        <f t="shared" si="253"/>
        <v>0</v>
      </c>
      <c r="HL85" s="602"/>
      <c r="HM85" s="673"/>
      <c r="HN85" s="269"/>
      <c r="HO85" s="673"/>
      <c r="HP85" s="673">
        <f t="shared" si="236"/>
        <v>0</v>
      </c>
      <c r="HQ85" s="539"/>
      <c r="HR85" s="539"/>
      <c r="HS85" s="539"/>
      <c r="HT85" s="539"/>
      <c r="HU85" s="539"/>
      <c r="HV85" s="673"/>
      <c r="HW85" s="673">
        <f t="shared" si="199"/>
        <v>0</v>
      </c>
      <c r="HX85" s="539"/>
    </row>
    <row r="86" spans="1:232" ht="20.100000000000001" customHeight="1">
      <c r="A86" s="510" t="s">
        <v>333</v>
      </c>
      <c r="B86" s="31" t="s">
        <v>14</v>
      </c>
      <c r="C86" s="31" t="s">
        <v>90</v>
      </c>
      <c r="D86" s="31">
        <v>2020</v>
      </c>
      <c r="E86" s="31"/>
      <c r="F86" s="31" t="s">
        <v>309</v>
      </c>
      <c r="G86" s="31" t="s">
        <v>142</v>
      </c>
      <c r="H86" s="31" t="s">
        <v>817</v>
      </c>
      <c r="I86" s="31"/>
      <c r="J86" s="31" t="s">
        <v>357</v>
      </c>
      <c r="K86" s="180" t="s">
        <v>358</v>
      </c>
      <c r="L86" s="114" t="s">
        <v>44</v>
      </c>
      <c r="M86" s="115" t="s">
        <v>356</v>
      </c>
      <c r="N86" s="116">
        <v>35396</v>
      </c>
      <c r="O86" s="159"/>
      <c r="P86" s="159"/>
      <c r="Q86" s="159"/>
      <c r="R86" s="159"/>
      <c r="S86" s="159"/>
      <c r="T86" s="386"/>
      <c r="U86" s="386"/>
      <c r="V86" s="386"/>
      <c r="W86" s="159"/>
      <c r="X86" s="143"/>
      <c r="Y86" s="525" t="e">
        <f t="shared" ref="Y86:Y117" si="290">10000*AD86/O86</f>
        <v>#DIV/0!</v>
      </c>
      <c r="Z86" s="143"/>
      <c r="AA86" s="143"/>
      <c r="AB86" s="144"/>
      <c r="AC86" s="31" t="s">
        <v>308</v>
      </c>
      <c r="AD86" s="493">
        <f t="shared" si="243"/>
        <v>26</v>
      </c>
      <c r="AE86" s="493">
        <f t="shared" ref="AE86:AE117" si="291">AD86-AI86</f>
        <v>0</v>
      </c>
      <c r="AF86" s="42"/>
      <c r="AG86" s="42"/>
      <c r="AH86" s="42"/>
      <c r="AI86" s="31">
        <v>26</v>
      </c>
      <c r="AJ86" s="796"/>
      <c r="AK86" s="276"/>
      <c r="AL86" s="586">
        <f t="shared" si="244"/>
        <v>0</v>
      </c>
      <c r="AM86" s="8">
        <f t="shared" si="245"/>
        <v>0</v>
      </c>
      <c r="AN86" s="35"/>
      <c r="AO86" s="35"/>
      <c r="AP86" s="35"/>
      <c r="AQ86" s="53"/>
      <c r="AR86" s="53"/>
      <c r="AS86" s="53"/>
      <c r="AT86" s="53"/>
      <c r="AU86" s="53"/>
      <c r="AV86" s="35"/>
      <c r="AW86" s="51"/>
      <c r="AX86" s="53"/>
      <c r="AY86" s="35"/>
      <c r="AZ86" s="31"/>
      <c r="BA86" s="31"/>
      <c r="BB86" s="160"/>
      <c r="BC86" s="31"/>
      <c r="BD86" s="31"/>
      <c r="BE86" s="31"/>
      <c r="BF86" s="31"/>
      <c r="BG86" s="31"/>
      <c r="BH86" s="73">
        <v>43816</v>
      </c>
      <c r="BI86" s="31"/>
      <c r="BJ86" s="660"/>
      <c r="BK86" s="660"/>
      <c r="BL86" s="661"/>
      <c r="BM86" s="659">
        <f t="shared" si="246"/>
        <v>0</v>
      </c>
      <c r="BN86" s="578" t="s">
        <v>235</v>
      </c>
      <c r="BO86" s="110"/>
      <c r="BP86" s="139"/>
      <c r="BQ86" s="654">
        <f t="shared" si="277"/>
        <v>0</v>
      </c>
      <c r="BR86" s="638"/>
      <c r="BS86" s="110"/>
      <c r="BT86" s="110"/>
      <c r="BU86" s="202"/>
      <c r="BV86" s="201">
        <f t="shared" ref="BV86:BV117" si="292">DATE(YEAR(BU86),MONTH(BU86)+24,DAY(BU86))</f>
        <v>731</v>
      </c>
      <c r="BW86" s="439"/>
      <c r="BX86" s="555"/>
      <c r="BY86" s="556"/>
      <c r="BZ86" s="556"/>
      <c r="CA86" s="556"/>
      <c r="CB86" s="81">
        <v>43699</v>
      </c>
      <c r="CC86" s="81">
        <v>43696</v>
      </c>
      <c r="CD86" s="81">
        <v>43699</v>
      </c>
      <c r="CE86" s="326">
        <f t="shared" si="229"/>
        <v>3</v>
      </c>
      <c r="CF86" s="341">
        <v>43951</v>
      </c>
      <c r="CG86" s="341"/>
      <c r="CH86" s="343" t="str">
        <f t="shared" si="230"/>
        <v>0</v>
      </c>
      <c r="CI86" s="81">
        <v>43899</v>
      </c>
      <c r="CJ86" s="81">
        <v>43906</v>
      </c>
      <c r="CK86" s="326">
        <f t="shared" si="231"/>
        <v>7</v>
      </c>
      <c r="CL86" s="81">
        <v>43899</v>
      </c>
      <c r="CM86" s="81">
        <v>43906</v>
      </c>
      <c r="CN86" s="326">
        <f t="shared" si="232"/>
        <v>7</v>
      </c>
      <c r="CO86" s="341">
        <v>43950</v>
      </c>
      <c r="CP86" s="341">
        <f ca="1">IF(CO86&lt;TODAY(),TODAY(),CO86)</f>
        <v>43950</v>
      </c>
      <c r="CQ86" s="343">
        <f t="shared" ca="1" si="247"/>
        <v>0</v>
      </c>
      <c r="CR86" s="290"/>
      <c r="CS86" s="339"/>
      <c r="CT86" s="330"/>
      <c r="CU86" s="331"/>
      <c r="CV86" s="332" t="str">
        <f t="shared" si="263"/>
        <v>0</v>
      </c>
      <c r="CW86" s="330">
        <v>44228</v>
      </c>
      <c r="CX86" s="449">
        <v>44270</v>
      </c>
      <c r="CY86" s="233"/>
      <c r="CZ86" s="284">
        <f t="shared" si="240"/>
        <v>1475.6666666666667</v>
      </c>
      <c r="DA86" s="332">
        <f t="shared" ref="DA86:DA117" si="293">IF(AND(CW86&gt;0,CX86&gt;0),CX86-CW86,"0")</f>
        <v>42</v>
      </c>
      <c r="DB86" s="450">
        <v>12</v>
      </c>
      <c r="DC86" s="169">
        <f t="shared" ref="DC86:DC117" si="294">DATEDIF(CX86,EC86,"M")</f>
        <v>12</v>
      </c>
      <c r="DD86" s="330"/>
      <c r="DE86" s="335">
        <f ca="1">IF(DD86&lt;TODAY(),TODAY(),DD86)</f>
        <v>43950</v>
      </c>
      <c r="DF86" s="332" t="str">
        <f t="shared" ca="1" si="233"/>
        <v>0</v>
      </c>
      <c r="DG86" s="330"/>
      <c r="DH86" s="348">
        <f ca="1">IF(DG86&lt;TODAY(),TODAY(),DG86)</f>
        <v>43950</v>
      </c>
      <c r="DI86" s="333" t="str">
        <f t="shared" ref="DI86:DI117" ca="1" si="295">IF(AND(DG86&gt;0,DH86&gt;0),DH86-DG86,"0")</f>
        <v>0</v>
      </c>
      <c r="DJ86" s="334"/>
      <c r="DK86" s="348">
        <f ca="1">IF(DJ86&lt;TODAY(),TODAY(),DJ86)</f>
        <v>43950</v>
      </c>
      <c r="DL86" s="332" t="str">
        <f t="shared" ca="1" si="214"/>
        <v>0</v>
      </c>
      <c r="DM86" s="335"/>
      <c r="DN86" s="335">
        <f ca="1">IF(DM86&lt;TODAY(),TODAY(),DM86)</f>
        <v>43950</v>
      </c>
      <c r="DO86" s="332" t="str">
        <f t="shared" ref="DO86:DO117" ca="1" si="296">IF(AND(DM86&gt;0,DN86&gt;0),DN86-DM86,"0")</f>
        <v>0</v>
      </c>
      <c r="DP86" s="336"/>
      <c r="DQ86" s="336"/>
      <c r="DR86" s="332" t="str">
        <f t="shared" ref="DR86:DR117" si="297">IF(AND(DP86&gt;0,DQ86&gt;0),DQ86-DP86,"0")</f>
        <v>0</v>
      </c>
      <c r="DS86" s="335"/>
      <c r="DT86" s="335">
        <f ca="1">IF(DS86&lt;TODAY(),TODAY(),DS86)</f>
        <v>43950</v>
      </c>
      <c r="DU86" s="332" t="str">
        <f t="shared" ref="DU86:DU117" ca="1" si="298">IF(AND(DS86&gt;0,DT86&gt;0),DT86-DS86,"0")</f>
        <v>0</v>
      </c>
      <c r="DV86" s="335"/>
      <c r="DW86" s="335">
        <f ca="1">IF(DV86&lt;TODAY(),TODAY(),DV86)</f>
        <v>43950</v>
      </c>
      <c r="DX86" s="332" t="str">
        <f t="shared" ref="DX86:DX117" ca="1" si="299">IF(AND(DV86&gt;0,DW86&gt;0),DW86-DV86,"0")</f>
        <v>0</v>
      </c>
      <c r="DY86" s="336"/>
      <c r="DZ86" s="336"/>
      <c r="EA86" s="336"/>
      <c r="EB86" s="477">
        <f t="shared" si="258"/>
        <v>44635</v>
      </c>
      <c r="EC86" s="476">
        <f>DATE(YEAR(EB86),MONTH(EB86),DAY(EB86))</f>
        <v>44635</v>
      </c>
      <c r="ED86" s="473">
        <f t="shared" si="248"/>
        <v>0</v>
      </c>
      <c r="EE86" s="605">
        <f ca="1">IF(((EC86-TODAY())/30)&lt;0,0,(EC86-TODAY())/30)</f>
        <v>22.833333333333332</v>
      </c>
      <c r="EF86" s="537">
        <f ca="1">DATE(YEAR(DH86)+2,MONTH(DH86),DAY(DH86))</f>
        <v>44680</v>
      </c>
      <c r="EG86" s="535"/>
      <c r="EH86" s="526"/>
      <c r="EI86" s="536">
        <f>DATE(YEAR(EC86),MONTH(EC86)+4,DAY(EC86)+2)</f>
        <v>44759</v>
      </c>
      <c r="EJ86" s="295"/>
      <c r="EK86" s="534">
        <f t="shared" si="242"/>
        <v>44666</v>
      </c>
      <c r="EL86" s="476">
        <f>DATE(YEAR(EC86),MONTH(EC86)+1,DAY(EC86))</f>
        <v>44666</v>
      </c>
      <c r="EM86" s="368"/>
      <c r="EN86" s="471">
        <f>(EL86-EK86)/30</f>
        <v>0</v>
      </c>
      <c r="EO86" s="461"/>
      <c r="EP86" s="173">
        <f t="shared" si="259"/>
        <v>0</v>
      </c>
      <c r="EQ86" s="77"/>
      <c r="ER86" s="353"/>
      <c r="ES86" s="353">
        <v>0</v>
      </c>
      <c r="ET86" s="353"/>
      <c r="EU86" s="353"/>
      <c r="EV86" s="353"/>
      <c r="EW86" s="483">
        <f t="shared" si="260"/>
        <v>0</v>
      </c>
      <c r="EX86" s="350"/>
      <c r="EY86" s="362"/>
      <c r="EZ86" s="350"/>
      <c r="FA86" s="350"/>
      <c r="FB86" s="126">
        <f t="shared" ca="1" si="234"/>
        <v>44680</v>
      </c>
      <c r="FC86" s="80"/>
      <c r="FD86" s="80"/>
      <c r="FE86" s="80"/>
      <c r="FF86" s="80"/>
      <c r="FG86" s="80"/>
      <c r="FH86" s="31"/>
      <c r="FI86" s="194">
        <f t="shared" si="289"/>
        <v>45000</v>
      </c>
      <c r="FJ86" s="194"/>
      <c r="FK86" s="31"/>
      <c r="FL86" s="31"/>
      <c r="FM86" s="31"/>
      <c r="FN86" s="31"/>
      <c r="FO86" s="31"/>
      <c r="FP86" s="31"/>
      <c r="FQ86" s="31"/>
      <c r="FR86" s="31"/>
      <c r="FS86" s="31"/>
      <c r="FT86" s="31"/>
      <c r="FU86" s="31"/>
      <c r="FV86" s="31"/>
      <c r="FW86" s="31"/>
      <c r="FX86" s="529"/>
      <c r="FY86" s="652">
        <f t="shared" si="249"/>
        <v>1683719.3</v>
      </c>
      <c r="FZ86" s="550">
        <f t="shared" si="264"/>
        <v>1683719.3</v>
      </c>
      <c r="GA86" s="267"/>
      <c r="GB86" s="602">
        <f>GM86+GN86+GR86+GV86</f>
        <v>338430</v>
      </c>
      <c r="GC86" s="267" t="e">
        <f t="shared" si="250"/>
        <v>#DIV/0!</v>
      </c>
      <c r="GD86" s="267">
        <f t="shared" si="261"/>
        <v>64758.43461538462</v>
      </c>
      <c r="GE86" s="45"/>
      <c r="GF86" s="519"/>
      <c r="GG86" s="267" t="e">
        <f>#REF!/AD86</f>
        <v>#REF!</v>
      </c>
      <c r="GH86" s="45">
        <v>1345289.3</v>
      </c>
      <c r="GI86" s="267"/>
      <c r="GJ86" s="267"/>
      <c r="GK86" s="407">
        <f t="shared" si="262"/>
        <v>51741.896153846159</v>
      </c>
      <c r="GL86" s="623"/>
      <c r="GM86" s="45">
        <v>336960</v>
      </c>
      <c r="GN86" s="45"/>
      <c r="GO86" s="23">
        <f t="shared" si="251"/>
        <v>0.20012837056628144</v>
      </c>
      <c r="GP86" s="60"/>
      <c r="GQ86" s="45"/>
      <c r="GR86" s="45">
        <v>1470</v>
      </c>
      <c r="GS86" s="28">
        <f t="shared" ref="GS86:GS117" si="300">GM86/AD86</f>
        <v>12960</v>
      </c>
      <c r="GT86" s="28">
        <f t="shared" ref="GT86:GT117" si="301">(GE86+GM86)/AD86</f>
        <v>12960</v>
      </c>
      <c r="GU86" s="682"/>
      <c r="GV86" s="682"/>
      <c r="GW86" s="680" t="e">
        <f>(#REF!+#REF!+GV86)/AD86</f>
        <v>#REF!</v>
      </c>
      <c r="GX86" s="682"/>
      <c r="GY86" s="682">
        <f t="shared" ref="GY86:GY117" si="302">(GE86+GM86+GV86+GX86)/AD86</f>
        <v>12960</v>
      </c>
      <c r="GZ86" s="681" t="e">
        <f>(#REF!+#REF!+GV86+GX86)/(GU86+#REF!-HA86)</f>
        <v>#REF!</v>
      </c>
      <c r="HA86" s="682"/>
      <c r="HB86" s="682"/>
      <c r="HC86" s="45"/>
      <c r="HD86" s="602"/>
      <c r="HE86" s="608">
        <f t="shared" ref="HE86:HE117" si="303">HD86/FZ86</f>
        <v>0</v>
      </c>
      <c r="HF86" s="602">
        <f t="shared" ref="HF86:HF112" si="304">FZ86-HD86</f>
        <v>1683719.3</v>
      </c>
      <c r="HG86" s="602">
        <f t="shared" ca="1" si="288"/>
        <v>589916.25109489053</v>
      </c>
      <c r="HH86" s="608">
        <f ca="1">(HD86+HG86)/FZ86</f>
        <v>0.35036496350364965</v>
      </c>
      <c r="HI86" s="602"/>
      <c r="HJ86" s="602">
        <f t="shared" si="257"/>
        <v>338430</v>
      </c>
      <c r="HK86" s="602">
        <f t="shared" si="253"/>
        <v>0</v>
      </c>
      <c r="HL86" s="602"/>
      <c r="HM86" s="673"/>
      <c r="HN86" s="269"/>
      <c r="HO86" s="673"/>
      <c r="HP86" s="673">
        <f t="shared" si="236"/>
        <v>0</v>
      </c>
      <c r="HQ86" s="539"/>
      <c r="HR86" s="539"/>
      <c r="HS86" s="539"/>
      <c r="HT86" s="539"/>
      <c r="HU86" s="539"/>
      <c r="HV86" s="673"/>
      <c r="HW86" s="700">
        <f t="shared" si="199"/>
        <v>0</v>
      </c>
      <c r="HX86" s="701"/>
    </row>
    <row r="87" spans="1:232" ht="20.100000000000001" customHeight="1">
      <c r="A87" s="510" t="s">
        <v>885</v>
      </c>
      <c r="B87" s="31" t="s">
        <v>21</v>
      </c>
      <c r="C87" s="31" t="s">
        <v>90</v>
      </c>
      <c r="D87" s="31">
        <v>2020</v>
      </c>
      <c r="E87" s="31"/>
      <c r="F87" s="31" t="s">
        <v>864</v>
      </c>
      <c r="G87" s="31" t="s">
        <v>143</v>
      </c>
      <c r="H87" s="31" t="s">
        <v>817</v>
      </c>
      <c r="I87" s="31"/>
      <c r="J87" s="31" t="s">
        <v>185</v>
      </c>
      <c r="K87" s="180" t="s">
        <v>359</v>
      </c>
      <c r="L87" s="114"/>
      <c r="M87" s="115"/>
      <c r="N87" s="116"/>
      <c r="O87" s="159"/>
      <c r="P87" s="159"/>
      <c r="Q87" s="159"/>
      <c r="R87" s="159"/>
      <c r="S87" s="159"/>
      <c r="T87" s="386"/>
      <c r="U87" s="386"/>
      <c r="V87" s="386"/>
      <c r="W87" s="159"/>
      <c r="X87" s="143"/>
      <c r="Y87" s="525" t="e">
        <f t="shared" si="290"/>
        <v>#DIV/0!</v>
      </c>
      <c r="Z87" s="143"/>
      <c r="AA87" s="143"/>
      <c r="AB87" s="144"/>
      <c r="AC87" s="31" t="s">
        <v>308</v>
      </c>
      <c r="AD87" s="493">
        <f t="shared" si="243"/>
        <v>83</v>
      </c>
      <c r="AE87" s="493">
        <f t="shared" si="291"/>
        <v>0</v>
      </c>
      <c r="AF87" s="42"/>
      <c r="AG87" s="42"/>
      <c r="AH87" s="42"/>
      <c r="AI87" s="131">
        <v>83</v>
      </c>
      <c r="AJ87" s="796"/>
      <c r="AK87" s="276"/>
      <c r="AL87" s="586">
        <f t="shared" si="244"/>
        <v>0</v>
      </c>
      <c r="AM87" s="8">
        <f t="shared" si="245"/>
        <v>0</v>
      </c>
      <c r="AN87" s="35"/>
      <c r="AO87" s="35"/>
      <c r="AP87" s="35"/>
      <c r="AQ87" s="53"/>
      <c r="AR87" s="53"/>
      <c r="AS87" s="53"/>
      <c r="AT87" s="53"/>
      <c r="AU87" s="53"/>
      <c r="AV87" s="35"/>
      <c r="AW87" s="51"/>
      <c r="AX87" s="53"/>
      <c r="AY87" s="35"/>
      <c r="AZ87" s="31"/>
      <c r="BA87" s="31"/>
      <c r="BB87" s="160"/>
      <c r="BC87" s="31"/>
      <c r="BD87" s="31"/>
      <c r="BE87" s="31"/>
      <c r="BF87" s="31"/>
      <c r="BG87" s="31"/>
      <c r="BH87" s="73">
        <v>43816</v>
      </c>
      <c r="BI87" s="31"/>
      <c r="BJ87" s="660"/>
      <c r="BK87" s="660"/>
      <c r="BL87" s="661"/>
      <c r="BM87" s="659">
        <f t="shared" si="246"/>
        <v>0</v>
      </c>
      <c r="BN87" s="578" t="s">
        <v>235</v>
      </c>
      <c r="BO87" s="110"/>
      <c r="BP87" s="139"/>
      <c r="BQ87" s="654">
        <f t="shared" si="277"/>
        <v>0</v>
      </c>
      <c r="BR87" s="638"/>
      <c r="BS87" s="110"/>
      <c r="BT87" s="110"/>
      <c r="BU87" s="202"/>
      <c r="BV87" s="201">
        <f t="shared" si="292"/>
        <v>731</v>
      </c>
      <c r="BW87" s="439"/>
      <c r="BX87" s="555"/>
      <c r="BY87" s="556"/>
      <c r="BZ87" s="556"/>
      <c r="CA87" s="556"/>
      <c r="CB87" s="214">
        <v>43703</v>
      </c>
      <c r="CC87" s="81">
        <v>43696</v>
      </c>
      <c r="CD87" s="81">
        <v>43700</v>
      </c>
      <c r="CE87" s="326">
        <f t="shared" si="229"/>
        <v>4</v>
      </c>
      <c r="CF87" s="341">
        <v>43951</v>
      </c>
      <c r="CG87" s="341"/>
      <c r="CH87" s="343" t="str">
        <f t="shared" si="230"/>
        <v>0</v>
      </c>
      <c r="CI87" s="81">
        <v>43899</v>
      </c>
      <c r="CJ87" s="81">
        <v>43906</v>
      </c>
      <c r="CK87" s="326">
        <f t="shared" si="231"/>
        <v>7</v>
      </c>
      <c r="CL87" s="81">
        <v>43899</v>
      </c>
      <c r="CM87" s="81">
        <v>43906</v>
      </c>
      <c r="CN87" s="326">
        <f t="shared" si="232"/>
        <v>7</v>
      </c>
      <c r="CO87" s="341">
        <v>43968</v>
      </c>
      <c r="CP87" s="341">
        <f ca="1">IF(CO87&lt;TODAY(),TODAY(),CO87)</f>
        <v>43968</v>
      </c>
      <c r="CQ87" s="343">
        <f t="shared" ca="1" si="247"/>
        <v>0</v>
      </c>
      <c r="CR87" s="290"/>
      <c r="CS87" s="339"/>
      <c r="CT87" s="330"/>
      <c r="CU87" s="331"/>
      <c r="CV87" s="332" t="str">
        <f t="shared" si="263"/>
        <v>0</v>
      </c>
      <c r="CW87" s="330">
        <v>44228</v>
      </c>
      <c r="CX87" s="449">
        <v>44270</v>
      </c>
      <c r="CY87" s="233"/>
      <c r="CZ87" s="284">
        <f t="shared" si="240"/>
        <v>1475.6666666666667</v>
      </c>
      <c r="DA87" s="332">
        <f t="shared" si="293"/>
        <v>42</v>
      </c>
      <c r="DB87" s="450">
        <v>12</v>
      </c>
      <c r="DC87" s="169">
        <f t="shared" si="294"/>
        <v>12</v>
      </c>
      <c r="DD87" s="330"/>
      <c r="DE87" s="335">
        <f ca="1">IF(DD87&lt;TODAY(),TODAY(),DD87)</f>
        <v>43950</v>
      </c>
      <c r="DF87" s="332" t="str">
        <f t="shared" ca="1" si="233"/>
        <v>0</v>
      </c>
      <c r="DG87" s="330"/>
      <c r="DH87" s="348">
        <f ca="1">IF(DG87&lt;TODAY(),TODAY(),DG87)</f>
        <v>43950</v>
      </c>
      <c r="DI87" s="333" t="str">
        <f t="shared" ca="1" si="295"/>
        <v>0</v>
      </c>
      <c r="DJ87" s="334"/>
      <c r="DK87" s="348">
        <f ca="1">IF(DJ87&lt;TODAY(),TODAY(),DJ87)</f>
        <v>43950</v>
      </c>
      <c r="DL87" s="332" t="str">
        <f t="shared" ca="1" si="214"/>
        <v>0</v>
      </c>
      <c r="DM87" s="335"/>
      <c r="DN87" s="335">
        <f ca="1">IF(DM87&lt;TODAY(),TODAY(),DM87)</f>
        <v>43950</v>
      </c>
      <c r="DO87" s="332" t="str">
        <f t="shared" ca="1" si="296"/>
        <v>0</v>
      </c>
      <c r="DP87" s="336"/>
      <c r="DQ87" s="336"/>
      <c r="DR87" s="332" t="str">
        <f t="shared" si="297"/>
        <v>0</v>
      </c>
      <c r="DS87" s="335"/>
      <c r="DT87" s="335">
        <f ca="1">IF(DS87&lt;TODAY(),TODAY(),DS87)</f>
        <v>43950</v>
      </c>
      <c r="DU87" s="332" t="str">
        <f t="shared" ca="1" si="298"/>
        <v>0</v>
      </c>
      <c r="DV87" s="335"/>
      <c r="DW87" s="335">
        <f ca="1">IF(DV87&lt;TODAY(),TODAY(),DV87)</f>
        <v>43950</v>
      </c>
      <c r="DX87" s="332" t="str">
        <f t="shared" ca="1" si="299"/>
        <v>0</v>
      </c>
      <c r="DY87" s="336"/>
      <c r="DZ87" s="336"/>
      <c r="EA87" s="336"/>
      <c r="EB87" s="477">
        <f t="shared" si="258"/>
        <v>44635</v>
      </c>
      <c r="EC87" s="476">
        <f>DATE(YEAR(EB87),MONTH(EB87),DAY(EB87))</f>
        <v>44635</v>
      </c>
      <c r="ED87" s="473">
        <f t="shared" si="248"/>
        <v>0</v>
      </c>
      <c r="EE87" s="605">
        <f ca="1">IF(((EC87-TODAY())/30)&lt;0,0,(EC87-TODAY())/30)</f>
        <v>22.833333333333332</v>
      </c>
      <c r="EF87" s="537">
        <f ca="1">DATE(YEAR(DH87)+2,MONTH(DH87),DAY(DH87))</f>
        <v>44680</v>
      </c>
      <c r="EG87" s="535"/>
      <c r="EH87" s="526"/>
      <c r="EI87" s="536">
        <f>DATE(YEAR(EC87),MONTH(EC87)+4,DAY(EC87)+2)</f>
        <v>44759</v>
      </c>
      <c r="EJ87" s="295"/>
      <c r="EK87" s="534">
        <f t="shared" si="242"/>
        <v>44666</v>
      </c>
      <c r="EL87" s="476">
        <f>DATE(YEAR(EC87),MONTH(EC87)+1,DAY(EC87))</f>
        <v>44666</v>
      </c>
      <c r="EM87" s="368"/>
      <c r="EN87" s="471">
        <f>(EL87-EK87)/30</f>
        <v>0</v>
      </c>
      <c r="EO87" s="461"/>
      <c r="EP87" s="173">
        <f t="shared" si="259"/>
        <v>0</v>
      </c>
      <c r="EQ87" s="77"/>
      <c r="ER87" s="353"/>
      <c r="ES87" s="353">
        <v>0</v>
      </c>
      <c r="ET87" s="353"/>
      <c r="EU87" s="353"/>
      <c r="EV87" s="353"/>
      <c r="EW87" s="483">
        <f t="shared" si="260"/>
        <v>0</v>
      </c>
      <c r="EX87" s="350"/>
      <c r="EY87" s="362"/>
      <c r="EZ87" s="350"/>
      <c r="FA87" s="350"/>
      <c r="FB87" s="126">
        <f t="shared" ca="1" si="234"/>
        <v>44680</v>
      </c>
      <c r="FC87" s="80"/>
      <c r="FD87" s="80"/>
      <c r="FE87" s="80"/>
      <c r="FF87" s="80"/>
      <c r="FG87" s="80"/>
      <c r="FH87" s="31"/>
      <c r="FI87" s="194">
        <f t="shared" si="289"/>
        <v>45000</v>
      </c>
      <c r="FJ87" s="194"/>
      <c r="FK87" s="31"/>
      <c r="FL87" s="31"/>
      <c r="FM87" s="31"/>
      <c r="FN87" s="31"/>
      <c r="FO87" s="31"/>
      <c r="FP87" s="31"/>
      <c r="FQ87" s="31"/>
      <c r="FR87" s="31"/>
      <c r="FS87" s="31"/>
      <c r="FT87" s="31"/>
      <c r="FU87" s="31"/>
      <c r="FV87" s="31"/>
      <c r="FW87" s="31"/>
      <c r="FX87" s="529"/>
      <c r="FY87" s="652">
        <f t="shared" si="249"/>
        <v>5183741.7300000004</v>
      </c>
      <c r="FZ87" s="550">
        <f t="shared" si="264"/>
        <v>5183741.7300000004</v>
      </c>
      <c r="GA87" s="267"/>
      <c r="GB87" s="602">
        <f>GM87+GN87+GR87+GV87</f>
        <v>1078480</v>
      </c>
      <c r="GC87" s="267" t="e">
        <f t="shared" si="250"/>
        <v>#DIV/0!</v>
      </c>
      <c r="GD87" s="267">
        <f t="shared" si="261"/>
        <v>62454.719638554219</v>
      </c>
      <c r="GE87" s="45"/>
      <c r="GF87" s="519"/>
      <c r="GG87" s="267" t="e">
        <f>#REF!/AD87</f>
        <v>#REF!</v>
      </c>
      <c r="GH87" s="45">
        <v>4105261.73</v>
      </c>
      <c r="GI87" s="267"/>
      <c r="GJ87" s="267"/>
      <c r="GK87" s="407">
        <f t="shared" si="262"/>
        <v>49460.984698795182</v>
      </c>
      <c r="GL87" s="623"/>
      <c r="GM87" s="45">
        <v>1075680</v>
      </c>
      <c r="GN87" s="45"/>
      <c r="GO87" s="23">
        <f t="shared" si="251"/>
        <v>0.20751033828994406</v>
      </c>
      <c r="GP87" s="60"/>
      <c r="GQ87" s="45"/>
      <c r="GR87" s="45">
        <v>2800</v>
      </c>
      <c r="GS87" s="28">
        <f t="shared" si="300"/>
        <v>12960</v>
      </c>
      <c r="GT87" s="28">
        <f t="shared" si="301"/>
        <v>12960</v>
      </c>
      <c r="GU87" s="682"/>
      <c r="GV87" s="682"/>
      <c r="GW87" s="682" t="e">
        <f>(#REF!+#REF!+GV87)/AD87</f>
        <v>#REF!</v>
      </c>
      <c r="GX87" s="682"/>
      <c r="GY87" s="682">
        <f t="shared" si="302"/>
        <v>12960</v>
      </c>
      <c r="GZ87" s="681" t="e">
        <f>(#REF!+#REF!+GV87+GX87)/(GU87+#REF!-HA87)</f>
        <v>#REF!</v>
      </c>
      <c r="HA87" s="682"/>
      <c r="HB87" s="682"/>
      <c r="HC87" s="45"/>
      <c r="HD87" s="602"/>
      <c r="HE87" s="608">
        <f t="shared" si="303"/>
        <v>0</v>
      </c>
      <c r="HF87" s="602">
        <f t="shared" si="304"/>
        <v>5183741.7300000004</v>
      </c>
      <c r="HG87" s="602">
        <f t="shared" ca="1" si="288"/>
        <v>1816201.482043796</v>
      </c>
      <c r="HH87" s="608">
        <f ca="1">(HD87+HG87)/FZ87</f>
        <v>0.35036496350364965</v>
      </c>
      <c r="HI87" s="602"/>
      <c r="HJ87" s="602">
        <f t="shared" si="257"/>
        <v>1078480</v>
      </c>
      <c r="HK87" s="602">
        <f t="shared" si="253"/>
        <v>0</v>
      </c>
      <c r="HL87" s="602"/>
      <c r="HM87" s="673"/>
      <c r="HN87" s="269"/>
      <c r="HO87" s="673"/>
      <c r="HP87" s="673">
        <f t="shared" si="236"/>
        <v>0</v>
      </c>
      <c r="HQ87" s="539"/>
      <c r="HR87" s="539"/>
      <c r="HS87" s="539"/>
      <c r="HT87" s="539"/>
      <c r="HU87" s="539"/>
      <c r="HV87" s="673"/>
      <c r="HW87" s="673">
        <f t="shared" si="199"/>
        <v>0</v>
      </c>
      <c r="HX87" s="539"/>
    </row>
    <row r="88" spans="1:232" ht="20.100000000000001" hidden="1" customHeight="1">
      <c r="A88" s="63" t="s">
        <v>272</v>
      </c>
      <c r="B88" s="31" t="s">
        <v>21</v>
      </c>
      <c r="C88" s="31" t="s">
        <v>90</v>
      </c>
      <c r="D88" s="31">
        <v>2012</v>
      </c>
      <c r="E88" s="31" t="s">
        <v>67</v>
      </c>
      <c r="F88" s="31"/>
      <c r="G88" s="74"/>
      <c r="H88" s="31" t="s">
        <v>187</v>
      </c>
      <c r="I88" s="31"/>
      <c r="J88" s="31"/>
      <c r="K88" s="180"/>
      <c r="L88" s="789"/>
      <c r="M88" s="789"/>
      <c r="N88" s="789"/>
      <c r="O88" s="142">
        <v>2666</v>
      </c>
      <c r="P88" s="142">
        <v>209000</v>
      </c>
      <c r="Q88" s="142">
        <v>154394</v>
      </c>
      <c r="R88" s="142">
        <f t="shared" ref="R88:R99" si="305">P88/AD88</f>
        <v>12294.117647058823</v>
      </c>
      <c r="S88" s="142">
        <f t="shared" ref="S88:S99" si="306">P88/O88</f>
        <v>78.394598649662413</v>
      </c>
      <c r="T88" s="142">
        <f t="shared" ref="T88:T99" si="307">Q88/O88</f>
        <v>57.912228057014254</v>
      </c>
      <c r="U88" s="142">
        <f t="shared" ref="U88:U98" si="308">Q88/AK88</f>
        <v>124.49121109498468</v>
      </c>
      <c r="V88" s="142">
        <f t="shared" ref="V88:V98" si="309">Q88/AD88</f>
        <v>9082</v>
      </c>
      <c r="W88" s="142">
        <f t="shared" ref="W88:W98" si="310">O88/AD88</f>
        <v>156.8235294117647</v>
      </c>
      <c r="X88" s="142"/>
      <c r="Y88" s="522">
        <f t="shared" si="290"/>
        <v>63.765941485371343</v>
      </c>
      <c r="Z88" s="143" t="s">
        <v>147</v>
      </c>
      <c r="AA88" s="143"/>
      <c r="AB88" s="144"/>
      <c r="AC88" s="31" t="s">
        <v>10</v>
      </c>
      <c r="AD88" s="493">
        <f t="shared" si="243"/>
        <v>17</v>
      </c>
      <c r="AE88" s="493">
        <f t="shared" si="291"/>
        <v>17</v>
      </c>
      <c r="AF88" s="42"/>
      <c r="AG88" s="31">
        <v>17</v>
      </c>
      <c r="AH88" s="42"/>
      <c r="AI88" s="42"/>
      <c r="AJ88" s="35">
        <v>1232.6100000000001</v>
      </c>
      <c r="AK88" s="276">
        <v>1240.2</v>
      </c>
      <c r="AL88" s="586">
        <f t="shared" si="244"/>
        <v>72.506470588235302</v>
      </c>
      <c r="AM88" s="8">
        <f t="shared" si="245"/>
        <v>72.952941176470588</v>
      </c>
      <c r="AN88" s="35">
        <v>5.2193642672028657</v>
      </c>
      <c r="AO88" s="35">
        <v>5.19</v>
      </c>
      <c r="AP88" s="35">
        <v>378.43768172923086</v>
      </c>
      <c r="AQ88" s="35"/>
      <c r="AR88" s="35"/>
      <c r="AS88" s="35"/>
      <c r="AT88" s="35"/>
      <c r="AU88" s="35"/>
      <c r="AV88" s="35">
        <v>760</v>
      </c>
      <c r="AW88" s="51">
        <f>30*10</f>
        <v>300</v>
      </c>
      <c r="AX88" s="53">
        <f>AW88/O88</f>
        <v>0.11252813203300825</v>
      </c>
      <c r="AY88" s="35">
        <v>3</v>
      </c>
      <c r="AZ88" s="34" t="s">
        <v>398</v>
      </c>
      <c r="BA88" s="35" t="s">
        <v>99</v>
      </c>
      <c r="BB88" s="35"/>
      <c r="BC88" s="35"/>
      <c r="BD88" s="35"/>
      <c r="BE88" s="35"/>
      <c r="BF88" s="196"/>
      <c r="BG88" s="196"/>
      <c r="BH88" s="164">
        <v>40963</v>
      </c>
      <c r="BI88" s="164"/>
      <c r="BJ88" s="660">
        <v>40998</v>
      </c>
      <c r="BK88" s="660">
        <v>41170</v>
      </c>
      <c r="BL88" s="661"/>
      <c r="BM88" s="659">
        <f t="shared" si="246"/>
        <v>5.7333333333333334</v>
      </c>
      <c r="BN88" s="578"/>
      <c r="BO88" s="65"/>
      <c r="BP88" s="634">
        <v>41288</v>
      </c>
      <c r="BQ88" s="634"/>
      <c r="BR88" s="634"/>
      <c r="BS88" s="110">
        <f>DATE(YEAR(BP88),MONTH(BP88)+3,DAY(BP88))</f>
        <v>41378</v>
      </c>
      <c r="BT88" s="65"/>
      <c r="BU88" s="201">
        <v>41395</v>
      </c>
      <c r="BV88" s="201">
        <f t="shared" si="292"/>
        <v>42125</v>
      </c>
      <c r="BW88" s="439">
        <v>52325</v>
      </c>
      <c r="BX88" s="201" t="str">
        <f t="shared" ref="BX88:BX118" si="311">IF(EL88&gt;BV88,"oui","non")</f>
        <v>oui</v>
      </c>
      <c r="BY88" s="557">
        <f t="shared" ref="BY88:BY118" si="312">(BV88-EL88)/30</f>
        <v>-20.033333333333335</v>
      </c>
      <c r="BZ88" s="439" t="str">
        <f t="shared" ref="BZ88:BZ118" si="313">IF((BY88*EO88)&lt;0,"0",BY88*EO88)</f>
        <v>0</v>
      </c>
      <c r="CA88" s="439">
        <f t="shared" ref="CA88:CA118" si="314">BW88-BZ88</f>
        <v>52325</v>
      </c>
      <c r="CB88" s="81"/>
      <c r="CC88" s="81"/>
      <c r="CD88" s="81"/>
      <c r="CE88" s="326" t="str">
        <f t="shared" ref="CE88:CE119" si="315">IF(AND(CC88&gt;0,CD88&gt;0),CD88-CC88,"0")</f>
        <v>0</v>
      </c>
      <c r="CF88" s="81"/>
      <c r="CG88" s="81"/>
      <c r="CH88" s="326" t="str">
        <f t="shared" ref="CH88:CH119" si="316">IF(AND(CF88&gt;0,CG88&gt;0),CG88-CF88,"0")</f>
        <v>0</v>
      </c>
      <c r="CI88" s="81"/>
      <c r="CJ88" s="81"/>
      <c r="CK88" s="326" t="str">
        <f t="shared" ref="CK88:CK119" si="317">IF(AND(CI88&gt;0,CJ88&gt;0),CJ88-CI88,"0")</f>
        <v>0</v>
      </c>
      <c r="CL88" s="81"/>
      <c r="CM88" s="81"/>
      <c r="CN88" s="326" t="str">
        <f t="shared" ref="CN88:CN119" si="318">IF(AND(CL88&gt;0,CM88&gt;0),CM88-CL88,"0")</f>
        <v>0</v>
      </c>
      <c r="CO88" s="83"/>
      <c r="CP88" s="365"/>
      <c r="CQ88" s="326" t="str">
        <f t="shared" si="247"/>
        <v>0</v>
      </c>
      <c r="CR88" s="292"/>
      <c r="CS88" s="159"/>
      <c r="CT88" s="81"/>
      <c r="CU88" s="159"/>
      <c r="CV88" s="326" t="str">
        <f t="shared" si="263"/>
        <v>0</v>
      </c>
      <c r="CW88" s="81"/>
      <c r="CX88" s="239">
        <v>41309</v>
      </c>
      <c r="CY88" s="230">
        <v>2013</v>
      </c>
      <c r="CZ88" s="285">
        <f t="shared" si="240"/>
        <v>4.6333333333333337</v>
      </c>
      <c r="DA88" s="326" t="str">
        <f t="shared" si="293"/>
        <v>0</v>
      </c>
      <c r="DB88" s="179">
        <v>14</v>
      </c>
      <c r="DC88" s="221">
        <f t="shared" si="294"/>
        <v>46</v>
      </c>
      <c r="DD88" s="81"/>
      <c r="DE88" s="159"/>
      <c r="DF88" s="326" t="str">
        <f t="shared" ref="DF88:DF119" si="319">IF(AND(DD88&gt;0,DE88&gt;0),DE88-DD88,"0")</f>
        <v>0</v>
      </c>
      <c r="DG88" s="81"/>
      <c r="DH88" s="363"/>
      <c r="DI88" s="329" t="str">
        <f t="shared" si="295"/>
        <v>0</v>
      </c>
      <c r="DJ88" s="83"/>
      <c r="DK88" s="395"/>
      <c r="DL88" s="326" t="str">
        <f t="shared" si="214"/>
        <v>0</v>
      </c>
      <c r="DM88" s="81"/>
      <c r="DN88" s="81"/>
      <c r="DO88" s="326" t="str">
        <f t="shared" si="296"/>
        <v>0</v>
      </c>
      <c r="DP88" s="81"/>
      <c r="DQ88" s="81"/>
      <c r="DR88" s="326" t="str">
        <f t="shared" si="297"/>
        <v>0</v>
      </c>
      <c r="DS88" s="81"/>
      <c r="DT88" s="81"/>
      <c r="DU88" s="326" t="str">
        <f t="shared" si="298"/>
        <v>0</v>
      </c>
      <c r="DV88" s="81"/>
      <c r="DW88" s="81"/>
      <c r="DX88" s="326" t="str">
        <f t="shared" si="299"/>
        <v>0</v>
      </c>
      <c r="DY88" s="81"/>
      <c r="DZ88" s="81"/>
      <c r="EA88" s="81"/>
      <c r="EB88" s="702">
        <f t="shared" si="258"/>
        <v>41733</v>
      </c>
      <c r="EC88" s="239">
        <v>42713</v>
      </c>
      <c r="ED88" s="468">
        <f t="shared" si="248"/>
        <v>32.666666666666664</v>
      </c>
      <c r="EE88" s="752"/>
      <c r="EF88" s="805"/>
      <c r="EG88" s="807">
        <v>42788</v>
      </c>
      <c r="EH88" s="214" t="s">
        <v>105</v>
      </c>
      <c r="EI88" s="790" t="s">
        <v>105</v>
      </c>
      <c r="EJ88" s="383"/>
      <c r="EK88" s="533">
        <f t="shared" si="242"/>
        <v>41763</v>
      </c>
      <c r="EL88" s="238">
        <v>42726</v>
      </c>
      <c r="EM88" s="232">
        <v>2016</v>
      </c>
      <c r="EN88" s="465">
        <f t="shared" ref="EN88:EN96" si="320">(DATEDIF(EK88,EL88,"d"))/30</f>
        <v>32.1</v>
      </c>
      <c r="EO88" s="456">
        <f>79535/12</f>
        <v>6627.916666666667</v>
      </c>
      <c r="EP88" s="213">
        <f t="shared" si="259"/>
        <v>212756.12500000003</v>
      </c>
      <c r="EQ88" s="214" t="s">
        <v>105</v>
      </c>
      <c r="ER88" s="349"/>
      <c r="ES88" s="454">
        <f>HC88</f>
        <v>5573.57</v>
      </c>
      <c r="ET88" s="353"/>
      <c r="EU88" s="353"/>
      <c r="EV88" s="353"/>
      <c r="EW88" s="483">
        <f t="shared" si="260"/>
        <v>0</v>
      </c>
      <c r="EX88" s="350"/>
      <c r="EY88" s="362" t="s">
        <v>532</v>
      </c>
      <c r="EZ88" s="350"/>
      <c r="FA88" s="350"/>
      <c r="FB88" s="126">
        <f t="shared" ref="FB88:FB110" si="321">DATE(YEAR(DH88),MONTH(DH88)+24,DAY(DH88))</f>
        <v>731</v>
      </c>
      <c r="FC88" s="78" t="s">
        <v>382</v>
      </c>
      <c r="FD88" s="78"/>
      <c r="FE88" s="218" t="s">
        <v>410</v>
      </c>
      <c r="FF88" s="78" t="s">
        <v>565</v>
      </c>
      <c r="FG88" s="137">
        <v>42928</v>
      </c>
      <c r="FH88" s="137">
        <v>43000</v>
      </c>
      <c r="FI88" s="81">
        <f t="shared" si="289"/>
        <v>43078</v>
      </c>
      <c r="FJ88" s="442">
        <v>41687</v>
      </c>
      <c r="FK88" s="132">
        <v>42779</v>
      </c>
      <c r="FL88" s="132">
        <v>42779</v>
      </c>
      <c r="FM88" s="132"/>
      <c r="FN88" s="80"/>
      <c r="FO88" s="80"/>
      <c r="FP88" s="420"/>
      <c r="FQ88" s="80"/>
      <c r="FR88" s="125" t="s">
        <v>559</v>
      </c>
      <c r="FS88" s="31" t="s">
        <v>295</v>
      </c>
      <c r="FT88" s="161">
        <v>42808</v>
      </c>
      <c r="FU88" s="161" t="s">
        <v>105</v>
      </c>
      <c r="FV88" s="81" t="s">
        <v>105</v>
      </c>
      <c r="FW88" s="80"/>
      <c r="FX88" s="392">
        <v>2618300</v>
      </c>
      <c r="FY88" s="652">
        <f t="shared" si="249"/>
        <v>3124473.57</v>
      </c>
      <c r="FZ88" s="550">
        <f t="shared" si="264"/>
        <v>3124473.57</v>
      </c>
      <c r="GA88" s="500">
        <f t="shared" ref="GA88:GA119" si="322">FZ88</f>
        <v>3124473.57</v>
      </c>
      <c r="GB88" s="610">
        <f>GM88+GN88+GR88</f>
        <v>339997</v>
      </c>
      <c r="GC88" s="28">
        <f t="shared" si="250"/>
        <v>2519.3304063860664</v>
      </c>
      <c r="GD88" s="28">
        <f t="shared" si="261"/>
        <v>183792.56294117647</v>
      </c>
      <c r="GE88" s="45">
        <v>750248</v>
      </c>
      <c r="GF88" s="417"/>
      <c r="GG88" s="28">
        <f t="shared" ref="GG88:GG119" si="323">GE88/AD88</f>
        <v>44132.23529411765</v>
      </c>
      <c r="GH88" s="45">
        <f>+GI88+GJ88</f>
        <v>1395754</v>
      </c>
      <c r="GI88" s="59">
        <v>259962</v>
      </c>
      <c r="GJ88" s="59">
        <v>1135792</v>
      </c>
      <c r="GK88" s="407">
        <f t="shared" si="262"/>
        <v>82103.176470588238</v>
      </c>
      <c r="GL88" s="45">
        <v>717901</v>
      </c>
      <c r="GM88" s="44">
        <v>254997</v>
      </c>
      <c r="GN88" s="44">
        <v>85000</v>
      </c>
      <c r="GO88" s="23">
        <f t="shared" si="251"/>
        <v>8.161278829444539E-2</v>
      </c>
      <c r="GP88" s="576"/>
      <c r="GQ88" s="576"/>
      <c r="GR88" s="44">
        <v>0</v>
      </c>
      <c r="GS88" s="28">
        <f t="shared" si="300"/>
        <v>14999.823529411764</v>
      </c>
      <c r="GT88" s="28">
        <f t="shared" si="301"/>
        <v>59132.058823529413</v>
      </c>
      <c r="GU88" s="682">
        <v>508572.84914999997</v>
      </c>
      <c r="GV88" s="682">
        <v>340000</v>
      </c>
      <c r="GW88" s="682" t="e">
        <f>(#REF!+#REF!+GV88)/AD88</f>
        <v>#REF!</v>
      </c>
      <c r="GX88" s="682">
        <v>0</v>
      </c>
      <c r="GY88" s="682">
        <f t="shared" si="302"/>
        <v>79132.058823529413</v>
      </c>
      <c r="GZ88" s="681">
        <f t="shared" ref="GZ88:GZ123" si="324">(GE88+GM88+GV88+GX88)/(GU88+FZ88-HA88)</f>
        <v>0.38707522332546446</v>
      </c>
      <c r="HA88" s="682">
        <v>157636.68239999999</v>
      </c>
      <c r="HB88" s="682"/>
      <c r="HC88" s="45">
        <v>5573.57</v>
      </c>
      <c r="HD88" s="602"/>
      <c r="HE88" s="608">
        <f t="shared" si="303"/>
        <v>0</v>
      </c>
      <c r="HF88" s="616">
        <f t="shared" si="304"/>
        <v>3124473.57</v>
      </c>
      <c r="HG88" s="602">
        <f t="shared" ca="1" si="288"/>
        <v>3124473.57</v>
      </c>
      <c r="HH88" s="602"/>
      <c r="HI88" s="602"/>
      <c r="HJ88" s="602">
        <f t="shared" si="257"/>
        <v>339997</v>
      </c>
      <c r="HK88" s="609">
        <f t="shared" si="253"/>
        <v>0</v>
      </c>
      <c r="HL88" s="609"/>
      <c r="HM88" s="673"/>
      <c r="HN88" s="62"/>
      <c r="HO88" s="673"/>
      <c r="HP88" s="673">
        <f t="shared" si="236"/>
        <v>0</v>
      </c>
      <c r="HQ88" s="539"/>
      <c r="HR88" s="539"/>
      <c r="HS88" s="539"/>
      <c r="HT88" s="539"/>
      <c r="HU88" s="539"/>
      <c r="HV88" s="673"/>
      <c r="HW88" s="673"/>
      <c r="HX88" s="539"/>
    </row>
    <row r="89" spans="1:232" ht="27" customHeight="1">
      <c r="A89" s="650" t="s">
        <v>28</v>
      </c>
      <c r="B89" s="31" t="s">
        <v>21</v>
      </c>
      <c r="C89" s="31" t="s">
        <v>90</v>
      </c>
      <c r="D89" s="31">
        <v>2016</v>
      </c>
      <c r="E89" s="31" t="s">
        <v>29</v>
      </c>
      <c r="F89" s="31" t="s">
        <v>40</v>
      </c>
      <c r="G89" s="53" t="s">
        <v>605</v>
      </c>
      <c r="H89" s="31" t="s">
        <v>140</v>
      </c>
      <c r="I89" s="53"/>
      <c r="J89" s="31"/>
      <c r="K89" s="180" t="s">
        <v>378</v>
      </c>
      <c r="L89" s="204" t="s">
        <v>45</v>
      </c>
      <c r="M89" s="204" t="s">
        <v>52</v>
      </c>
      <c r="N89" s="204"/>
      <c r="O89" s="142">
        <v>2433</v>
      </c>
      <c r="P89" s="142">
        <f>Q89</f>
        <v>487212</v>
      </c>
      <c r="Q89" s="142">
        <v>487212</v>
      </c>
      <c r="R89" s="142">
        <f t="shared" si="305"/>
        <v>16240.4</v>
      </c>
      <c r="S89" s="142">
        <f t="shared" si="306"/>
        <v>200.25154130702836</v>
      </c>
      <c r="T89" s="142">
        <f t="shared" si="307"/>
        <v>200.25154130702836</v>
      </c>
      <c r="U89" s="142">
        <f t="shared" si="308"/>
        <v>191.48855891901238</v>
      </c>
      <c r="V89" s="142">
        <f t="shared" si="309"/>
        <v>16240.4</v>
      </c>
      <c r="W89" s="142">
        <f t="shared" si="310"/>
        <v>81.099999999999994</v>
      </c>
      <c r="X89" s="143">
        <v>782</v>
      </c>
      <c r="Y89" s="522">
        <f t="shared" si="290"/>
        <v>123.30456226880395</v>
      </c>
      <c r="Z89" s="143" t="s">
        <v>153</v>
      </c>
      <c r="AA89" s="143">
        <v>528</v>
      </c>
      <c r="AB89" s="144">
        <v>0.05</v>
      </c>
      <c r="AC89" s="31" t="s">
        <v>9</v>
      </c>
      <c r="AD89" s="493">
        <f t="shared" si="243"/>
        <v>30</v>
      </c>
      <c r="AE89" s="493">
        <f t="shared" si="291"/>
        <v>30</v>
      </c>
      <c r="AF89" s="31">
        <v>30</v>
      </c>
      <c r="AG89" s="42"/>
      <c r="AH89" s="42"/>
      <c r="AI89" s="42"/>
      <c r="AJ89" s="796">
        <v>2141.6999999999998</v>
      </c>
      <c r="AK89" s="276">
        <v>2544.34</v>
      </c>
      <c r="AL89" s="586">
        <f t="shared" si="244"/>
        <v>71.39</v>
      </c>
      <c r="AM89" s="8">
        <f t="shared" si="245"/>
        <v>84.811333333333337</v>
      </c>
      <c r="AN89" s="35">
        <v>7.69</v>
      </c>
      <c r="AO89" s="35">
        <v>6.47</v>
      </c>
      <c r="AP89" s="35">
        <v>548.97</v>
      </c>
      <c r="AQ89" s="53">
        <f>4/AD89</f>
        <v>0.13333333333333333</v>
      </c>
      <c r="AR89" s="53">
        <f>7/AD89</f>
        <v>0.23333333333333334</v>
      </c>
      <c r="AS89" s="53">
        <f>9/AD89</f>
        <v>0.3</v>
      </c>
      <c r="AT89" s="53">
        <f>8/AD89</f>
        <v>0.26666666666666666</v>
      </c>
      <c r="AU89" s="53">
        <f>2/AD89</f>
        <v>6.6666666666666666E-2</v>
      </c>
      <c r="AV89" s="35"/>
      <c r="AW89" s="51">
        <v>0</v>
      </c>
      <c r="AX89" s="53">
        <f>AW89/O89</f>
        <v>0</v>
      </c>
      <c r="AY89" s="35">
        <v>4.5</v>
      </c>
      <c r="AZ89" s="34" t="s">
        <v>398</v>
      </c>
      <c r="BA89" s="31" t="s">
        <v>98</v>
      </c>
      <c r="BB89" s="31"/>
      <c r="BC89" s="31"/>
      <c r="BD89" s="31"/>
      <c r="BE89" s="31"/>
      <c r="BF89" s="197" t="s">
        <v>238</v>
      </c>
      <c r="BG89" s="197"/>
      <c r="BH89" s="166">
        <v>40816</v>
      </c>
      <c r="BI89" s="197" t="s">
        <v>798</v>
      </c>
      <c r="BJ89" s="660">
        <v>42459</v>
      </c>
      <c r="BK89" s="660">
        <v>42618</v>
      </c>
      <c r="BL89" s="661">
        <v>42646</v>
      </c>
      <c r="BM89" s="659">
        <f t="shared" si="246"/>
        <v>5.3</v>
      </c>
      <c r="BN89" s="578" t="s">
        <v>235</v>
      </c>
      <c r="BO89" s="452"/>
      <c r="BP89" s="554"/>
      <c r="BQ89" s="654">
        <f t="shared" ref="BQ89:BQ123" si="325">(DATEDIF(BO89,BP89,"d"))/30</f>
        <v>0</v>
      </c>
      <c r="BR89" s="639"/>
      <c r="BS89" s="110">
        <f>DATE(YEAR(BP89),MONTH(BP89)+3,DAY(BP89))</f>
        <v>91</v>
      </c>
      <c r="BT89" s="113"/>
      <c r="BU89" s="202"/>
      <c r="BV89" s="201">
        <f t="shared" si="292"/>
        <v>731</v>
      </c>
      <c r="BW89" s="439"/>
      <c r="BX89" s="201" t="str">
        <f t="shared" si="311"/>
        <v>oui</v>
      </c>
      <c r="BY89" s="557">
        <f t="shared" si="312"/>
        <v>-1464.6666666666667</v>
      </c>
      <c r="BZ89" s="439" t="str">
        <f t="shared" si="313"/>
        <v>0</v>
      </c>
      <c r="CA89" s="439">
        <f t="shared" si="314"/>
        <v>0</v>
      </c>
      <c r="CB89" s="81"/>
      <c r="CC89" s="81"/>
      <c r="CD89" s="81"/>
      <c r="CE89" s="343" t="str">
        <f t="shared" si="315"/>
        <v>0</v>
      </c>
      <c r="CF89" s="81"/>
      <c r="CG89" s="81"/>
      <c r="CH89" s="326" t="str">
        <f t="shared" si="316"/>
        <v>0</v>
      </c>
      <c r="CI89" s="81"/>
      <c r="CJ89" s="81"/>
      <c r="CK89" s="326" t="str">
        <f t="shared" si="317"/>
        <v>0</v>
      </c>
      <c r="CL89" s="81"/>
      <c r="CM89" s="81"/>
      <c r="CN89" s="326" t="str">
        <f t="shared" si="318"/>
        <v>0</v>
      </c>
      <c r="CO89" s="81"/>
      <c r="CP89" s="81"/>
      <c r="CQ89" s="326" t="str">
        <f t="shared" si="247"/>
        <v>0</v>
      </c>
      <c r="CR89" s="290"/>
      <c r="CS89" s="346"/>
      <c r="CT89" s="335"/>
      <c r="CU89" s="335"/>
      <c r="CV89" s="332" t="str">
        <f t="shared" si="263"/>
        <v>0</v>
      </c>
      <c r="CW89" s="337"/>
      <c r="CX89" s="449">
        <v>44063</v>
      </c>
      <c r="CY89" s="234"/>
      <c r="CZ89" s="289">
        <f t="shared" si="240"/>
        <v>48.166666666666664</v>
      </c>
      <c r="DA89" s="332" t="str">
        <f t="shared" si="293"/>
        <v>0</v>
      </c>
      <c r="DB89" s="451">
        <v>16</v>
      </c>
      <c r="DC89" s="169">
        <f t="shared" si="294"/>
        <v>19</v>
      </c>
      <c r="DD89" s="330">
        <v>43692</v>
      </c>
      <c r="DE89" s="335">
        <f ca="1">IF(DD89&lt;TODAY(),TODAY(),DD89)</f>
        <v>43950</v>
      </c>
      <c r="DF89" s="332">
        <f t="shared" ca="1" si="319"/>
        <v>258</v>
      </c>
      <c r="DG89" s="330">
        <f>DATE(YEAR(DD89),MONTH(DD89)+2,DAY(DD89))</f>
        <v>43753</v>
      </c>
      <c r="DH89" s="348">
        <f ca="1">IF(DG89&lt;TODAY(),TODAY(),DG89)</f>
        <v>43950</v>
      </c>
      <c r="DI89" s="333">
        <f t="shared" ca="1" si="295"/>
        <v>197</v>
      </c>
      <c r="DJ89" s="335"/>
      <c r="DK89" s="348">
        <f ca="1">IF(DJ89&lt;TODAY(),TODAY(),DJ89)</f>
        <v>43950</v>
      </c>
      <c r="DL89" s="332" t="str">
        <f t="shared" ca="1" si="214"/>
        <v>0</v>
      </c>
      <c r="DM89" s="335"/>
      <c r="DN89" s="335">
        <f ca="1">IF(DM89&lt;TODAY(),TODAY(),DM89)</f>
        <v>43950</v>
      </c>
      <c r="DO89" s="332" t="str">
        <f t="shared" ca="1" si="296"/>
        <v>0</v>
      </c>
      <c r="DP89" s="336"/>
      <c r="DQ89" s="336"/>
      <c r="DR89" s="332" t="str">
        <f t="shared" si="297"/>
        <v>0</v>
      </c>
      <c r="DS89" s="335"/>
      <c r="DT89" s="335">
        <f ca="1">IF(DS89&lt;TODAY(),TODAY(),DS89)</f>
        <v>43950</v>
      </c>
      <c r="DU89" s="332" t="str">
        <f t="shared" ca="1" si="298"/>
        <v>0</v>
      </c>
      <c r="DV89" s="335"/>
      <c r="DW89" s="335">
        <f ca="1">IF(DV89&lt;TODAY(),TODAY(),DV89)</f>
        <v>43950</v>
      </c>
      <c r="DX89" s="332" t="str">
        <f t="shared" ca="1" si="299"/>
        <v>0</v>
      </c>
      <c r="DY89" s="335"/>
      <c r="DZ89" s="335"/>
      <c r="EA89" s="335"/>
      <c r="EB89" s="477">
        <f t="shared" si="258"/>
        <v>44550</v>
      </c>
      <c r="EC89" s="476">
        <f>DATE(YEAR(EB89),MONTH(EB89)+3,DAY(EB89))</f>
        <v>44640</v>
      </c>
      <c r="ED89" s="473">
        <f t="shared" si="248"/>
        <v>3</v>
      </c>
      <c r="EE89" s="605">
        <f ca="1">IF(((EC89-TODAY())/30)&lt;0,0,(EC89-TODAY())/30)</f>
        <v>23</v>
      </c>
      <c r="EF89" s="476">
        <f ca="1">DATE(YEAR(DH89)+2,MONTH(DH89),DAY(DH89))</f>
        <v>44680</v>
      </c>
      <c r="EG89" s="535"/>
      <c r="EH89" s="526"/>
      <c r="EI89" s="536"/>
      <c r="EJ89" s="295"/>
      <c r="EK89" s="534">
        <f t="shared" si="242"/>
        <v>44581</v>
      </c>
      <c r="EL89" s="476">
        <f>DATE(YEAR(EC89),MONTH(EC89)+1,DAY(EC89))</f>
        <v>44671</v>
      </c>
      <c r="EM89" s="368"/>
      <c r="EN89" s="471">
        <f t="shared" si="320"/>
        <v>3</v>
      </c>
      <c r="EO89" s="461">
        <v>16515</v>
      </c>
      <c r="EP89" s="173">
        <f t="shared" si="259"/>
        <v>49545</v>
      </c>
      <c r="EQ89" s="193"/>
      <c r="ER89" s="353">
        <v>0</v>
      </c>
      <c r="ES89" s="353">
        <v>0</v>
      </c>
      <c r="ET89" s="353"/>
      <c r="EU89" s="353"/>
      <c r="EV89" s="353"/>
      <c r="EW89" s="483">
        <f t="shared" si="260"/>
        <v>0</v>
      </c>
      <c r="EX89" s="350"/>
      <c r="EY89" s="362"/>
      <c r="EZ89" s="362" t="s">
        <v>542</v>
      </c>
      <c r="FA89" s="362" t="s">
        <v>808</v>
      </c>
      <c r="FB89" s="126">
        <f t="shared" ca="1" si="321"/>
        <v>44680</v>
      </c>
      <c r="FC89" s="129"/>
      <c r="FD89" s="129"/>
      <c r="FE89" s="129"/>
      <c r="FF89" s="129"/>
      <c r="FG89" s="129"/>
      <c r="FH89" s="53"/>
      <c r="FI89" s="194">
        <f t="shared" si="289"/>
        <v>45005</v>
      </c>
      <c r="FJ89" s="194"/>
      <c r="FK89" s="53"/>
      <c r="FL89" s="53"/>
      <c r="FM89" s="53"/>
      <c r="FN89" s="53"/>
      <c r="FO89" s="53"/>
      <c r="FP89" s="53"/>
      <c r="FQ89" s="53"/>
      <c r="FR89" s="53"/>
      <c r="FS89" s="53"/>
      <c r="FT89" s="53"/>
      <c r="FU89" s="53"/>
      <c r="FV89" s="53"/>
      <c r="FW89" s="53"/>
      <c r="FX89" s="529"/>
      <c r="FY89" s="652">
        <f t="shared" si="249"/>
        <v>5491512.8399999999</v>
      </c>
      <c r="FZ89" s="550">
        <f t="shared" si="264"/>
        <v>5491512.8399999999</v>
      </c>
      <c r="GA89" s="500">
        <f t="shared" si="322"/>
        <v>5491512.8399999999</v>
      </c>
      <c r="GB89" s="602">
        <f>GM89+GN89+GR89+GQ89+GV89+GX89</f>
        <v>317790</v>
      </c>
      <c r="GC89" s="28">
        <f t="shared" si="250"/>
        <v>2158.3250823396243</v>
      </c>
      <c r="GD89" s="28">
        <f t="shared" si="261"/>
        <v>183050.42799999999</v>
      </c>
      <c r="GE89" s="699">
        <v>1861285.76</v>
      </c>
      <c r="GF89" s="417"/>
      <c r="GG89" s="28">
        <f t="shared" si="323"/>
        <v>62042.858666666667</v>
      </c>
      <c r="GH89" s="699">
        <f>GI89+GJ89</f>
        <v>3312437.08</v>
      </c>
      <c r="GI89" s="826">
        <v>689165.08</v>
      </c>
      <c r="GJ89" s="826">
        <v>2623272</v>
      </c>
      <c r="GK89" s="407">
        <f t="shared" si="262"/>
        <v>110414.56933333333</v>
      </c>
      <c r="GL89" s="45">
        <v>0</v>
      </c>
      <c r="GM89" s="699">
        <v>270000</v>
      </c>
      <c r="GN89" s="45"/>
      <c r="GO89" s="23">
        <f t="shared" si="251"/>
        <v>4.9166779331431008E-2</v>
      </c>
      <c r="GP89" s="60"/>
      <c r="GQ89" s="60"/>
      <c r="GR89" s="45">
        <v>47790</v>
      </c>
      <c r="GS89" s="28">
        <f t="shared" si="300"/>
        <v>9000</v>
      </c>
      <c r="GT89" s="28">
        <f t="shared" si="301"/>
        <v>71042.858666666652</v>
      </c>
      <c r="GU89" s="682">
        <v>0</v>
      </c>
      <c r="GV89" s="682">
        <v>0</v>
      </c>
      <c r="GW89" s="680">
        <f>(GE89+GM89+GV89)/AD89</f>
        <v>71042.858666666652</v>
      </c>
      <c r="GX89" s="682">
        <v>0</v>
      </c>
      <c r="GY89" s="682">
        <f t="shared" si="302"/>
        <v>71042.858666666652</v>
      </c>
      <c r="GZ89" s="681">
        <f t="shared" si="324"/>
        <v>0.38810539501533786</v>
      </c>
      <c r="HA89" s="682"/>
      <c r="HB89" s="682"/>
      <c r="HC89" s="45">
        <f>ES89</f>
        <v>0</v>
      </c>
      <c r="HD89" s="610">
        <v>1011295</v>
      </c>
      <c r="HE89" s="608">
        <f t="shared" si="303"/>
        <v>0.18415599297770194</v>
      </c>
      <c r="HF89" s="602">
        <f t="shared" si="304"/>
        <v>4480217.84</v>
      </c>
      <c r="HG89" s="602">
        <f ca="1">IF(EE89&lt;DATEDIF(TODAY(),$HG$1,"M"),HF89,(HF89/EE89*DATEDIF(TODAY(),$HG$1,"M")))*0+150000</f>
        <v>150000</v>
      </c>
      <c r="HH89" s="608">
        <f ca="1">(HG89+HD89)/FZ89</f>
        <v>0.21147087038405249</v>
      </c>
      <c r="HI89" s="602">
        <f>'[1]GLOBAL OPERATION'!$AG$79</f>
        <v>2979650.37</v>
      </c>
      <c r="HJ89" s="602">
        <f t="shared" si="257"/>
        <v>-2661860.37</v>
      </c>
      <c r="HK89" s="608">
        <f t="shared" si="253"/>
        <v>9.3761615217596521</v>
      </c>
      <c r="HL89" s="608" t="s">
        <v>775</v>
      </c>
      <c r="HM89" s="673"/>
      <c r="HN89" s="62"/>
      <c r="HO89" s="673"/>
      <c r="HP89" s="673">
        <f t="shared" si="236"/>
        <v>0</v>
      </c>
      <c r="HQ89" s="539"/>
      <c r="HR89" s="539"/>
      <c r="HS89" s="539"/>
      <c r="HT89" s="539"/>
      <c r="HU89" s="539"/>
      <c r="HV89" s="673"/>
      <c r="HW89" s="673">
        <f t="shared" ref="HW89:HW96" si="326">HV89+HP89+HO89+HM89</f>
        <v>0</v>
      </c>
      <c r="HX89" s="539"/>
    </row>
    <row r="90" spans="1:232" ht="28.5" hidden="1" customHeight="1">
      <c r="A90" s="426" t="s">
        <v>30</v>
      </c>
      <c r="B90" s="31" t="s">
        <v>31</v>
      </c>
      <c r="C90" s="31" t="s">
        <v>90</v>
      </c>
      <c r="D90" s="31">
        <v>2013</v>
      </c>
      <c r="E90" s="31" t="s">
        <v>32</v>
      </c>
      <c r="F90" s="31"/>
      <c r="G90" s="74" t="s">
        <v>606</v>
      </c>
      <c r="H90" s="31" t="s">
        <v>187</v>
      </c>
      <c r="I90" s="31"/>
      <c r="J90" s="31"/>
      <c r="K90" s="180"/>
      <c r="L90" s="204" t="s">
        <v>43</v>
      </c>
      <c r="M90" s="204" t="s">
        <v>50</v>
      </c>
      <c r="N90" s="802">
        <v>41591</v>
      </c>
      <c r="O90" s="142">
        <v>1547</v>
      </c>
      <c r="P90" s="142">
        <f>Q90</f>
        <v>259906</v>
      </c>
      <c r="Q90" s="142">
        <v>259906</v>
      </c>
      <c r="R90" s="142">
        <f t="shared" si="305"/>
        <v>14439.222222222223</v>
      </c>
      <c r="S90" s="142">
        <f t="shared" si="306"/>
        <v>168.00646412411118</v>
      </c>
      <c r="T90" s="142">
        <f t="shared" si="307"/>
        <v>168.00646412411118</v>
      </c>
      <c r="U90" s="142">
        <f t="shared" si="308"/>
        <v>197.05075133815524</v>
      </c>
      <c r="V90" s="142">
        <f t="shared" si="309"/>
        <v>14439.222222222223</v>
      </c>
      <c r="W90" s="142">
        <f t="shared" si="310"/>
        <v>85.944444444444443</v>
      </c>
      <c r="X90" s="143">
        <v>836</v>
      </c>
      <c r="Y90" s="522">
        <f t="shared" si="290"/>
        <v>116.35423400129282</v>
      </c>
      <c r="Z90" s="143" t="s">
        <v>153</v>
      </c>
      <c r="AA90" s="143">
        <v>383</v>
      </c>
      <c r="AB90" s="144">
        <v>0</v>
      </c>
      <c r="AC90" s="31" t="s">
        <v>10</v>
      </c>
      <c r="AD90" s="493">
        <f t="shared" si="243"/>
        <v>18</v>
      </c>
      <c r="AE90" s="493">
        <f t="shared" si="291"/>
        <v>18</v>
      </c>
      <c r="AF90" s="42"/>
      <c r="AG90" s="31">
        <v>18</v>
      </c>
      <c r="AH90" s="42"/>
      <c r="AI90" s="42"/>
      <c r="AJ90" s="796">
        <v>1120.54</v>
      </c>
      <c r="AK90" s="276">
        <v>1318.98</v>
      </c>
      <c r="AL90" s="586">
        <f t="shared" si="244"/>
        <v>62.252222222222223</v>
      </c>
      <c r="AM90" s="8">
        <f t="shared" si="245"/>
        <v>73.276666666666671</v>
      </c>
      <c r="AN90" s="35">
        <v>6.23</v>
      </c>
      <c r="AO90" s="35">
        <v>5.3</v>
      </c>
      <c r="AP90" s="35">
        <v>388.01</v>
      </c>
      <c r="AQ90" s="159"/>
      <c r="AR90" s="53">
        <f>12/AD90</f>
        <v>0.66666666666666663</v>
      </c>
      <c r="AS90" s="53">
        <f>6/AD90</f>
        <v>0.33333333333333331</v>
      </c>
      <c r="AT90" s="159"/>
      <c r="AU90" s="159"/>
      <c r="AV90" s="35"/>
      <c r="AW90" s="51">
        <v>0</v>
      </c>
      <c r="AX90" s="53">
        <f>AW90/O90</f>
        <v>0</v>
      </c>
      <c r="AY90" s="35">
        <v>3.5</v>
      </c>
      <c r="AZ90" s="34" t="s">
        <v>398</v>
      </c>
      <c r="BA90" s="31" t="s">
        <v>98</v>
      </c>
      <c r="BB90" s="31"/>
      <c r="BC90" s="31"/>
      <c r="BD90" s="31"/>
      <c r="BE90" s="31"/>
      <c r="BF90" s="538">
        <v>41313</v>
      </c>
      <c r="BG90" s="538"/>
      <c r="BH90" s="73">
        <v>41348</v>
      </c>
      <c r="BI90" s="73"/>
      <c r="BJ90" s="660">
        <v>41363</v>
      </c>
      <c r="BK90" s="660">
        <v>41463</v>
      </c>
      <c r="BL90" s="661"/>
      <c r="BM90" s="659">
        <f t="shared" si="246"/>
        <v>3.3333333333333335</v>
      </c>
      <c r="BN90" s="578"/>
      <c r="BO90" s="110">
        <v>41549</v>
      </c>
      <c r="BP90" s="139">
        <v>41576</v>
      </c>
      <c r="BQ90" s="655">
        <f t="shared" si="325"/>
        <v>0.9</v>
      </c>
      <c r="BR90" s="139"/>
      <c r="BS90" s="110">
        <f>DATE(YEAR(BP90),MONTH(BP90)+3,DAY(BP90))</f>
        <v>41668</v>
      </c>
      <c r="BT90" s="110"/>
      <c r="BU90" s="202">
        <v>41671</v>
      </c>
      <c r="BV90" s="201">
        <f t="shared" si="292"/>
        <v>42401</v>
      </c>
      <c r="BW90" s="439">
        <f>9005+35312</f>
        <v>44317</v>
      </c>
      <c r="BX90" s="201" t="str">
        <f t="shared" si="311"/>
        <v>oui</v>
      </c>
      <c r="BY90" s="557">
        <f t="shared" si="312"/>
        <v>-22.266666666666666</v>
      </c>
      <c r="BZ90" s="439" t="str">
        <f t="shared" si="313"/>
        <v>0</v>
      </c>
      <c r="CA90" s="439">
        <f t="shared" si="314"/>
        <v>44317</v>
      </c>
      <c r="CB90" s="81">
        <v>41184</v>
      </c>
      <c r="CC90" s="81">
        <f>CB90</f>
        <v>41184</v>
      </c>
      <c r="CD90" s="81">
        <v>41185</v>
      </c>
      <c r="CE90" s="326">
        <f t="shared" si="315"/>
        <v>1</v>
      </c>
      <c r="CF90" s="81">
        <f>CD90+21+21</f>
        <v>41227</v>
      </c>
      <c r="CG90" s="81">
        <v>41311</v>
      </c>
      <c r="CH90" s="326">
        <f t="shared" si="316"/>
        <v>84</v>
      </c>
      <c r="CI90" s="81">
        <v>41373</v>
      </c>
      <c r="CJ90" s="81">
        <v>41375</v>
      </c>
      <c r="CK90" s="326">
        <f t="shared" si="317"/>
        <v>2</v>
      </c>
      <c r="CL90" s="81">
        <f>CJ90+30+30</f>
        <v>41435</v>
      </c>
      <c r="CM90" s="81">
        <v>41437</v>
      </c>
      <c r="CN90" s="326">
        <f t="shared" si="318"/>
        <v>2</v>
      </c>
      <c r="CO90" s="81">
        <f>CM90+37+37</f>
        <v>41511</v>
      </c>
      <c r="CP90" s="405">
        <v>41529</v>
      </c>
      <c r="CQ90" s="326">
        <f t="shared" si="247"/>
        <v>18</v>
      </c>
      <c r="CR90" s="292"/>
      <c r="CS90" s="81">
        <v>41684</v>
      </c>
      <c r="CT90" s="81">
        <f>CP90+7+7+30</f>
        <v>41573</v>
      </c>
      <c r="CU90" s="81">
        <v>41743</v>
      </c>
      <c r="CV90" s="326">
        <f t="shared" si="263"/>
        <v>170</v>
      </c>
      <c r="CW90" s="81">
        <v>41743</v>
      </c>
      <c r="CX90" s="236">
        <v>41751</v>
      </c>
      <c r="CY90" s="230">
        <v>2014</v>
      </c>
      <c r="CZ90" s="285">
        <f t="shared" ref="CZ90:CZ121" si="327">(DATEDIF(BK90,CX90,"d"))/30</f>
        <v>9.6</v>
      </c>
      <c r="DA90" s="326">
        <f t="shared" si="293"/>
        <v>8</v>
      </c>
      <c r="DB90" s="76">
        <v>15</v>
      </c>
      <c r="DC90" s="76">
        <f t="shared" si="294"/>
        <v>42</v>
      </c>
      <c r="DD90" s="81">
        <v>41835</v>
      </c>
      <c r="DE90" s="159">
        <v>41835</v>
      </c>
      <c r="DF90" s="326">
        <f t="shared" si="319"/>
        <v>0</v>
      </c>
      <c r="DG90" s="81">
        <f>DD90+45</f>
        <v>41880</v>
      </c>
      <c r="DH90" s="363">
        <v>42153</v>
      </c>
      <c r="DI90" s="329">
        <f t="shared" si="295"/>
        <v>273</v>
      </c>
      <c r="DJ90" s="81">
        <f>CX90+300</f>
        <v>42051</v>
      </c>
      <c r="DK90" s="395">
        <v>42255</v>
      </c>
      <c r="DL90" s="326">
        <f t="shared" si="214"/>
        <v>204</v>
      </c>
      <c r="DM90" s="81">
        <f>DJ90+30</f>
        <v>42081</v>
      </c>
      <c r="DN90" s="81">
        <v>42943</v>
      </c>
      <c r="DO90" s="326">
        <f t="shared" si="296"/>
        <v>862</v>
      </c>
      <c r="DP90" s="81">
        <f>DM90</f>
        <v>42081</v>
      </c>
      <c r="DQ90" s="81">
        <v>42943</v>
      </c>
      <c r="DR90" s="326">
        <f t="shared" si="297"/>
        <v>862</v>
      </c>
      <c r="DS90" s="81">
        <f>DP90+60</f>
        <v>42141</v>
      </c>
      <c r="DT90" s="81">
        <v>42934</v>
      </c>
      <c r="DU90" s="326">
        <f t="shared" si="298"/>
        <v>793</v>
      </c>
      <c r="DV90" s="81">
        <f>DS90+90</f>
        <v>42231</v>
      </c>
      <c r="DW90" s="81">
        <v>42985</v>
      </c>
      <c r="DX90" s="326">
        <f t="shared" si="299"/>
        <v>754</v>
      </c>
      <c r="DY90" s="81">
        <v>43052</v>
      </c>
      <c r="DZ90" s="81">
        <v>43041</v>
      </c>
      <c r="EA90" s="81">
        <v>43031</v>
      </c>
      <c r="EB90" s="367">
        <f t="shared" si="258"/>
        <v>42207</v>
      </c>
      <c r="EC90" s="238">
        <v>43055</v>
      </c>
      <c r="ED90" s="468">
        <f t="shared" si="248"/>
        <v>28.266666666666666</v>
      </c>
      <c r="EE90" s="752"/>
      <c r="EF90" s="793"/>
      <c r="EG90" s="753">
        <v>43082</v>
      </c>
      <c r="EH90" s="75">
        <v>42382</v>
      </c>
      <c r="EI90" s="754">
        <v>43059</v>
      </c>
      <c r="EJ90" s="293"/>
      <c r="EK90" s="533">
        <f t="shared" si="242"/>
        <v>42238</v>
      </c>
      <c r="EL90" s="238">
        <v>43069</v>
      </c>
      <c r="EM90" s="232">
        <v>2017</v>
      </c>
      <c r="EN90" s="465">
        <f t="shared" si="320"/>
        <v>27.7</v>
      </c>
      <c r="EO90" s="455">
        <f>86289.3386701777/12</f>
        <v>7190.7782225148085</v>
      </c>
      <c r="EP90" s="213">
        <f t="shared" si="259"/>
        <v>199184.55676366019</v>
      </c>
      <c r="EQ90" s="214">
        <v>42999</v>
      </c>
      <c r="ER90" s="592">
        <v>366248</v>
      </c>
      <c r="ES90" s="454">
        <f>HC90</f>
        <v>0</v>
      </c>
      <c r="ET90" s="353"/>
      <c r="EU90" s="353"/>
      <c r="EV90" s="353">
        <v>110247.29</v>
      </c>
      <c r="EW90" s="483">
        <f t="shared" si="260"/>
        <v>3.2927085246660541E-2</v>
      </c>
      <c r="EX90" s="593" t="s">
        <v>552</v>
      </c>
      <c r="EY90" s="595" t="s">
        <v>553</v>
      </c>
      <c r="EZ90" s="350"/>
      <c r="FA90" s="595" t="s">
        <v>554</v>
      </c>
      <c r="FB90" s="126">
        <f t="shared" si="321"/>
        <v>42884</v>
      </c>
      <c r="FC90" s="438" t="s">
        <v>379</v>
      </c>
      <c r="FD90" s="397">
        <v>43164</v>
      </c>
      <c r="FE90" s="129" t="s">
        <v>229</v>
      </c>
      <c r="FF90" s="129" t="s">
        <v>229</v>
      </c>
      <c r="FG90" s="137">
        <v>43152</v>
      </c>
      <c r="FH90" s="137" t="s">
        <v>105</v>
      </c>
      <c r="FI90" s="214">
        <f t="shared" si="289"/>
        <v>43420</v>
      </c>
      <c r="FJ90" s="444">
        <v>26813</v>
      </c>
      <c r="FK90" s="397">
        <v>43151</v>
      </c>
      <c r="FL90" s="397">
        <v>43157</v>
      </c>
      <c r="FM90" s="397"/>
      <c r="FN90" s="129"/>
      <c r="FO90" s="129"/>
      <c r="FP90" s="421">
        <v>43210</v>
      </c>
      <c r="FQ90" s="53"/>
      <c r="FR90" s="53" t="s">
        <v>711</v>
      </c>
      <c r="FS90" s="31" t="s">
        <v>295</v>
      </c>
      <c r="FT90" s="421">
        <v>43242</v>
      </c>
      <c r="FU90" s="53" t="s">
        <v>105</v>
      </c>
      <c r="FV90" s="53"/>
      <c r="FW90" s="53"/>
      <c r="FX90" s="388">
        <v>2715924</v>
      </c>
      <c r="FY90" s="652">
        <f t="shared" si="249"/>
        <v>3348225</v>
      </c>
      <c r="FZ90" s="550">
        <f t="shared" si="264"/>
        <v>3348225</v>
      </c>
      <c r="GA90" s="500">
        <f t="shared" si="322"/>
        <v>3348225</v>
      </c>
      <c r="GB90" s="610">
        <f>GM90+GN90+GR90</f>
        <v>432000</v>
      </c>
      <c r="GC90" s="28">
        <f t="shared" si="250"/>
        <v>2538.495655733976</v>
      </c>
      <c r="GD90" s="28">
        <f t="shared" si="261"/>
        <v>186012.5</v>
      </c>
      <c r="GE90" s="45">
        <v>736924</v>
      </c>
      <c r="GF90" s="417"/>
      <c r="GG90" s="28">
        <f t="shared" si="323"/>
        <v>40940.222222222219</v>
      </c>
      <c r="GH90" s="45">
        <f>+GI90+GJ90</f>
        <v>1490303</v>
      </c>
      <c r="GI90" s="59">
        <v>341701</v>
      </c>
      <c r="GJ90" s="59">
        <v>1148602</v>
      </c>
      <c r="GK90" s="407">
        <f t="shared" si="262"/>
        <v>82794.611111111109</v>
      </c>
      <c r="GL90" s="45"/>
      <c r="GM90" s="45">
        <v>432000</v>
      </c>
      <c r="GN90" s="45"/>
      <c r="GO90" s="23">
        <f t="shared" si="251"/>
        <v>0.12902358712452119</v>
      </c>
      <c r="GP90" s="45">
        <v>688998</v>
      </c>
      <c r="GQ90" s="45"/>
      <c r="GR90" s="45">
        <v>0</v>
      </c>
      <c r="GS90" s="28">
        <f t="shared" si="300"/>
        <v>24000</v>
      </c>
      <c r="GT90" s="28">
        <f t="shared" si="301"/>
        <v>64940.222222222219</v>
      </c>
      <c r="GU90" s="682">
        <v>0</v>
      </c>
      <c r="GV90" s="682">
        <v>0</v>
      </c>
      <c r="GW90" s="680" t="e">
        <f>(#REF!+#REF!+GV90)/AD90</f>
        <v>#REF!</v>
      </c>
      <c r="GX90" s="682">
        <v>0</v>
      </c>
      <c r="GY90" s="682">
        <f t="shared" si="302"/>
        <v>64940.222222222219</v>
      </c>
      <c r="GZ90" s="681">
        <f t="shared" si="324"/>
        <v>0.34911751749061071</v>
      </c>
      <c r="HA90" s="682"/>
      <c r="HB90" s="682"/>
      <c r="HC90" s="45">
        <v>0</v>
      </c>
      <c r="HD90" s="602"/>
      <c r="HE90" s="608">
        <f t="shared" si="303"/>
        <v>0</v>
      </c>
      <c r="HF90" s="616">
        <f t="shared" si="304"/>
        <v>3348225</v>
      </c>
      <c r="HG90" s="602">
        <f ca="1">IF(EE90&lt;DATEDIF(TODAY(),$HG$1,"M"),HF90,(HF90/EE90*DATEDIF(TODAY(),$HG$1,"M")))</f>
        <v>3348225</v>
      </c>
      <c r="HH90" s="602"/>
      <c r="HI90" s="602"/>
      <c r="HJ90" s="602">
        <f t="shared" si="257"/>
        <v>432000</v>
      </c>
      <c r="HK90" s="609">
        <f t="shared" si="253"/>
        <v>0</v>
      </c>
      <c r="HL90" s="609"/>
      <c r="HM90" s="673">
        <v>297216.28000000003</v>
      </c>
      <c r="HN90" s="62">
        <v>265365</v>
      </c>
      <c r="HO90" s="673">
        <v>311140.07999999996</v>
      </c>
      <c r="HP90" s="673">
        <f t="shared" si="236"/>
        <v>2055044.76</v>
      </c>
      <c r="HQ90" s="539">
        <v>923493.08000000007</v>
      </c>
      <c r="HR90" s="539">
        <v>362055.67000000004</v>
      </c>
      <c r="HS90" s="539">
        <v>88768</v>
      </c>
      <c r="HT90" s="539">
        <v>403078</v>
      </c>
      <c r="HU90" s="539">
        <v>277650.01</v>
      </c>
      <c r="HV90" s="673">
        <v>530095</v>
      </c>
      <c r="HW90" s="673">
        <f t="shared" si="326"/>
        <v>3193496.12</v>
      </c>
      <c r="HX90" s="539"/>
    </row>
    <row r="91" spans="1:232" ht="28.5" customHeight="1">
      <c r="A91" s="560" t="s">
        <v>411</v>
      </c>
      <c r="B91" s="31" t="s">
        <v>31</v>
      </c>
      <c r="C91" s="31" t="s">
        <v>90</v>
      </c>
      <c r="D91" s="31">
        <v>2016</v>
      </c>
      <c r="E91" s="31" t="s">
        <v>226</v>
      </c>
      <c r="F91" s="31" t="s">
        <v>709</v>
      </c>
      <c r="G91" s="31" t="s">
        <v>337</v>
      </c>
      <c r="H91" s="31" t="s">
        <v>186</v>
      </c>
      <c r="I91" s="31"/>
      <c r="J91" s="31" t="s">
        <v>255</v>
      </c>
      <c r="K91" s="180" t="s">
        <v>448</v>
      </c>
      <c r="L91" s="114"/>
      <c r="M91" s="115"/>
      <c r="N91" s="116"/>
      <c r="O91" s="142">
        <v>2307</v>
      </c>
      <c r="P91" s="142">
        <v>184560</v>
      </c>
      <c r="Q91" s="142">
        <v>184560</v>
      </c>
      <c r="R91" s="142">
        <f t="shared" si="305"/>
        <v>10253.333333333334</v>
      </c>
      <c r="S91" s="142">
        <f t="shared" si="306"/>
        <v>80</v>
      </c>
      <c r="T91" s="148">
        <f t="shared" si="307"/>
        <v>80</v>
      </c>
      <c r="U91" s="148">
        <f t="shared" si="308"/>
        <v>132.858222654141</v>
      </c>
      <c r="V91" s="148">
        <f t="shared" si="309"/>
        <v>10253.333333333334</v>
      </c>
      <c r="W91" s="142">
        <f t="shared" si="310"/>
        <v>128.16666666666666</v>
      </c>
      <c r="X91" s="143"/>
      <c r="Y91" s="525">
        <f t="shared" si="290"/>
        <v>78.023407022106639</v>
      </c>
      <c r="Z91" s="143" t="s">
        <v>724</v>
      </c>
      <c r="AA91" s="143">
        <v>380</v>
      </c>
      <c r="AB91" s="144"/>
      <c r="AC91" s="31" t="s">
        <v>10</v>
      </c>
      <c r="AD91" s="493">
        <f t="shared" si="243"/>
        <v>18</v>
      </c>
      <c r="AE91" s="493">
        <f t="shared" si="291"/>
        <v>18</v>
      </c>
      <c r="AF91" s="42"/>
      <c r="AG91" s="31">
        <v>18</v>
      </c>
      <c r="AH91" s="42"/>
      <c r="AI91" s="42"/>
      <c r="AJ91" s="796">
        <v>1159.8700000000001</v>
      </c>
      <c r="AK91" s="276">
        <v>1389.15</v>
      </c>
      <c r="AL91" s="586">
        <f t="shared" si="244"/>
        <v>64.437222222222232</v>
      </c>
      <c r="AM91" s="8">
        <f t="shared" si="245"/>
        <v>77.175000000000011</v>
      </c>
      <c r="AN91" s="35">
        <v>6.5</v>
      </c>
      <c r="AO91" s="35">
        <v>5.42</v>
      </c>
      <c r="AP91" s="35">
        <v>418.66</v>
      </c>
      <c r="AQ91" s="53">
        <f>2/AD91</f>
        <v>0.1111111111111111</v>
      </c>
      <c r="AR91" s="53">
        <f>6/AD91</f>
        <v>0.33333333333333331</v>
      </c>
      <c r="AS91" s="53">
        <f>7/AD91</f>
        <v>0.3888888888888889</v>
      </c>
      <c r="AT91" s="53">
        <f>3/AD91</f>
        <v>0.16666666666666666</v>
      </c>
      <c r="AU91" s="53"/>
      <c r="AV91" s="35"/>
      <c r="AW91" s="51"/>
      <c r="AX91" s="53"/>
      <c r="AY91" s="35"/>
      <c r="AZ91" s="34" t="s">
        <v>398</v>
      </c>
      <c r="BA91" s="31" t="s">
        <v>98</v>
      </c>
      <c r="BB91" s="31"/>
      <c r="BC91" s="31"/>
      <c r="BD91" s="31"/>
      <c r="BE91" s="31"/>
      <c r="BF91" s="164">
        <v>42396</v>
      </c>
      <c r="BG91" s="164"/>
      <c r="BH91" s="164">
        <v>42475</v>
      </c>
      <c r="BI91" s="381" t="s">
        <v>801</v>
      </c>
      <c r="BJ91" s="660">
        <v>42459</v>
      </c>
      <c r="BK91" s="660">
        <v>42620</v>
      </c>
      <c r="BL91" s="661">
        <v>42646</v>
      </c>
      <c r="BM91" s="659">
        <f t="shared" si="246"/>
        <v>5.3666666666666663</v>
      </c>
      <c r="BN91" s="578" t="s">
        <v>235</v>
      </c>
      <c r="BO91" s="452"/>
      <c r="BP91" s="139"/>
      <c r="BQ91" s="654">
        <f t="shared" si="325"/>
        <v>0</v>
      </c>
      <c r="BR91" s="638"/>
      <c r="BS91" s="110">
        <f>DATE(YEAR(BP91),MONTH(BP91)+3,DAY(BP91))</f>
        <v>91</v>
      </c>
      <c r="BT91" s="110"/>
      <c r="BU91" s="202"/>
      <c r="BV91" s="201">
        <f t="shared" si="292"/>
        <v>731</v>
      </c>
      <c r="BW91" s="439"/>
      <c r="BX91" s="201" t="str">
        <f t="shared" si="311"/>
        <v>oui</v>
      </c>
      <c r="BY91" s="557">
        <f t="shared" si="312"/>
        <v>-1464.6666666666667</v>
      </c>
      <c r="BZ91" s="439" t="str">
        <f t="shared" si="313"/>
        <v>0</v>
      </c>
      <c r="CA91" s="439">
        <f t="shared" si="314"/>
        <v>0</v>
      </c>
      <c r="CB91" s="81"/>
      <c r="CC91" s="81"/>
      <c r="CD91" s="81"/>
      <c r="CE91" s="343" t="str">
        <f t="shared" si="315"/>
        <v>0</v>
      </c>
      <c r="CF91" s="81"/>
      <c r="CG91" s="81"/>
      <c r="CH91" s="326" t="str">
        <f t="shared" si="316"/>
        <v>0</v>
      </c>
      <c r="CI91" s="81"/>
      <c r="CJ91" s="214"/>
      <c r="CK91" s="326" t="str">
        <f t="shared" si="317"/>
        <v>0</v>
      </c>
      <c r="CL91" s="81"/>
      <c r="CM91" s="214"/>
      <c r="CN91" s="326" t="str">
        <f t="shared" si="318"/>
        <v>0</v>
      </c>
      <c r="CO91" s="81"/>
      <c r="CP91" s="81"/>
      <c r="CQ91" s="326" t="str">
        <f t="shared" si="247"/>
        <v>0</v>
      </c>
      <c r="CR91" s="290"/>
      <c r="CS91" s="346"/>
      <c r="CT91" s="337"/>
      <c r="CU91" s="335"/>
      <c r="CV91" s="332" t="str">
        <f t="shared" si="263"/>
        <v>0</v>
      </c>
      <c r="CW91" s="337"/>
      <c r="CX91" s="449">
        <v>44063</v>
      </c>
      <c r="CY91" s="233"/>
      <c r="CZ91" s="284">
        <f t="shared" si="327"/>
        <v>48.1</v>
      </c>
      <c r="DA91" s="332" t="str">
        <f t="shared" si="293"/>
        <v>0</v>
      </c>
      <c r="DB91" s="450">
        <v>16</v>
      </c>
      <c r="DC91" s="169">
        <f t="shared" si="294"/>
        <v>19</v>
      </c>
      <c r="DD91" s="330">
        <v>43784</v>
      </c>
      <c r="DE91" s="335">
        <f t="shared" ref="DE91:DE97" ca="1" si="328">IF(DD91&lt;TODAY(),TODAY(),DD91)</f>
        <v>43950</v>
      </c>
      <c r="DF91" s="332">
        <f t="shared" ca="1" si="319"/>
        <v>166</v>
      </c>
      <c r="DG91" s="330">
        <f>DATE(YEAR(DD91),MONTH(DD91)+2,DAY(DD91))</f>
        <v>43845</v>
      </c>
      <c r="DH91" s="348">
        <f t="shared" ref="DH91:DH97" ca="1" si="329">IF(DG91&lt;TODAY(),TODAY(),DG91)</f>
        <v>43950</v>
      </c>
      <c r="DI91" s="333">
        <f t="shared" ca="1" si="295"/>
        <v>105</v>
      </c>
      <c r="DJ91" s="335"/>
      <c r="DK91" s="348">
        <f t="shared" ref="DK91:DK97" ca="1" si="330">IF(DJ91&lt;TODAY(),TODAY(),DJ91)</f>
        <v>43950</v>
      </c>
      <c r="DL91" s="332" t="str">
        <f t="shared" ca="1" si="214"/>
        <v>0</v>
      </c>
      <c r="DM91" s="335"/>
      <c r="DN91" s="335">
        <f t="shared" ref="DN91:DN97" ca="1" si="331">IF(DM91&lt;TODAY(),TODAY(),DM91)</f>
        <v>43950</v>
      </c>
      <c r="DO91" s="332" t="str">
        <f t="shared" ca="1" si="296"/>
        <v>0</v>
      </c>
      <c r="DP91" s="336"/>
      <c r="DQ91" s="336"/>
      <c r="DR91" s="332" t="str">
        <f t="shared" si="297"/>
        <v>0</v>
      </c>
      <c r="DS91" s="335"/>
      <c r="DT91" s="335">
        <f t="shared" ref="DT91:DT97" ca="1" si="332">IF(DS91&lt;TODAY(),TODAY(),DS91)</f>
        <v>43950</v>
      </c>
      <c r="DU91" s="332" t="str">
        <f t="shared" ca="1" si="298"/>
        <v>0</v>
      </c>
      <c r="DV91" s="335"/>
      <c r="DW91" s="335">
        <f t="shared" ref="DW91:DW97" ca="1" si="333">IF(DV91&lt;TODAY(),TODAY(),DV91)</f>
        <v>43950</v>
      </c>
      <c r="DX91" s="332" t="str">
        <f t="shared" ca="1" si="299"/>
        <v>0</v>
      </c>
      <c r="DY91" s="335"/>
      <c r="DZ91" s="335"/>
      <c r="EA91" s="335"/>
      <c r="EB91" s="477">
        <f t="shared" si="258"/>
        <v>44550</v>
      </c>
      <c r="EC91" s="476">
        <f>DATE(YEAR(EB91),MONTH(EB91)+3,DAY(EB91))</f>
        <v>44640</v>
      </c>
      <c r="ED91" s="473">
        <f t="shared" si="248"/>
        <v>3</v>
      </c>
      <c r="EE91" s="605">
        <f t="shared" ref="EE91:EE97" ca="1" si="334">IF(((EC91-TODAY())/30)&lt;0,0,(EC91-TODAY())/30)</f>
        <v>23</v>
      </c>
      <c r="EF91" s="476">
        <f t="shared" ref="EF91:EF97" ca="1" si="335">DATE(YEAR(DH91)+2,MONTH(DH91),DAY(DH91))</f>
        <v>44680</v>
      </c>
      <c r="EG91" s="535"/>
      <c r="EH91" s="526"/>
      <c r="EI91" s="536"/>
      <c r="EJ91" s="295"/>
      <c r="EK91" s="534">
        <f t="shared" si="242"/>
        <v>44581</v>
      </c>
      <c r="EL91" s="476">
        <f>DATE(YEAR(EC91),MONTH(EC91)+1,DAY(EC91))</f>
        <v>44671</v>
      </c>
      <c r="EM91" s="368"/>
      <c r="EN91" s="471">
        <f t="shared" si="320"/>
        <v>3</v>
      </c>
      <c r="EO91" s="461">
        <v>7287</v>
      </c>
      <c r="EP91" s="173">
        <f t="shared" si="259"/>
        <v>21861</v>
      </c>
      <c r="EQ91" s="77"/>
      <c r="ER91" s="353">
        <v>0</v>
      </c>
      <c r="ES91" s="353">
        <v>0</v>
      </c>
      <c r="ET91" s="353"/>
      <c r="EU91" s="353"/>
      <c r="EV91" s="353"/>
      <c r="EW91" s="483">
        <f t="shared" si="260"/>
        <v>0</v>
      </c>
      <c r="EX91" s="350"/>
      <c r="EY91" s="362"/>
      <c r="EZ91" s="362" t="s">
        <v>136</v>
      </c>
      <c r="FA91" s="350" t="s">
        <v>810</v>
      </c>
      <c r="FB91" s="126">
        <f t="shared" ca="1" si="321"/>
        <v>44680</v>
      </c>
      <c r="FC91" s="80"/>
      <c r="FD91" s="80"/>
      <c r="FE91" s="80"/>
      <c r="FF91" s="80"/>
      <c r="FG91" s="80"/>
      <c r="FH91" s="31"/>
      <c r="FI91" s="194">
        <f t="shared" si="289"/>
        <v>45005</v>
      </c>
      <c r="FJ91" s="194"/>
      <c r="FK91" s="31"/>
      <c r="FL91" s="31"/>
      <c r="FM91" s="31"/>
      <c r="FN91" s="31"/>
      <c r="FO91" s="31"/>
      <c r="FP91" s="31"/>
      <c r="FQ91" s="31"/>
      <c r="FR91" s="31"/>
      <c r="FS91" s="31"/>
      <c r="FT91" s="31"/>
      <c r="FU91" s="31"/>
      <c r="FV91" s="31"/>
      <c r="FW91" s="31"/>
      <c r="FX91" s="529"/>
      <c r="FY91" s="652">
        <f t="shared" si="249"/>
        <v>3179093.429253743</v>
      </c>
      <c r="FZ91" s="550">
        <f t="shared" si="264"/>
        <v>3179093.429253743</v>
      </c>
      <c r="GA91" s="500">
        <f t="shared" si="322"/>
        <v>3179093.429253743</v>
      </c>
      <c r="GB91" s="610">
        <f>GM91+GN91+GR91+GQ91+GV91+GX91</f>
        <v>270000</v>
      </c>
      <c r="GC91" s="28">
        <f t="shared" si="250"/>
        <v>2288.5170278614569</v>
      </c>
      <c r="GD91" s="28">
        <f t="shared" si="261"/>
        <v>176616.30162520794</v>
      </c>
      <c r="GE91" s="45">
        <v>1114914.1197047029</v>
      </c>
      <c r="GF91" s="417"/>
      <c r="GG91" s="28">
        <f t="shared" si="323"/>
        <v>61939.67331692794</v>
      </c>
      <c r="GH91" s="45">
        <f>GI91+GJ91</f>
        <v>1794179.3095490402</v>
      </c>
      <c r="GI91" s="59">
        <v>332903.04942286824</v>
      </c>
      <c r="GJ91" s="59">
        <v>1461276.2601261719</v>
      </c>
      <c r="GK91" s="407">
        <f t="shared" si="262"/>
        <v>99676.628308280007</v>
      </c>
      <c r="GL91" s="45"/>
      <c r="GM91" s="45">
        <v>270000</v>
      </c>
      <c r="GN91" s="45"/>
      <c r="GO91" s="23">
        <f t="shared" si="251"/>
        <v>8.4929872622013347E-2</v>
      </c>
      <c r="GP91" s="60"/>
      <c r="GQ91" s="60"/>
      <c r="GR91" s="45"/>
      <c r="GS91" s="28">
        <f t="shared" si="300"/>
        <v>15000</v>
      </c>
      <c r="GT91" s="28">
        <f t="shared" si="301"/>
        <v>76939.673316927932</v>
      </c>
      <c r="GU91" s="682"/>
      <c r="GV91" s="682"/>
      <c r="GW91" s="680">
        <f t="shared" ref="GW91:GW97" si="336">(GE91+GM91+GV91)/AD91</f>
        <v>76939.673316927932</v>
      </c>
      <c r="GX91" s="682"/>
      <c r="GY91" s="682">
        <f t="shared" si="302"/>
        <v>76939.673316927932</v>
      </c>
      <c r="GZ91" s="681">
        <f t="shared" si="324"/>
        <v>0.43563177695906724</v>
      </c>
      <c r="HA91" s="682"/>
      <c r="HB91" s="682"/>
      <c r="HC91" s="45">
        <f>ES91</f>
        <v>0</v>
      </c>
      <c r="HD91" s="610">
        <f>(177400+88473)*1.021</f>
        <v>271456.33299999998</v>
      </c>
      <c r="HE91" s="608">
        <f t="shared" si="303"/>
        <v>8.5387969570847544E-2</v>
      </c>
      <c r="HF91" s="602">
        <f t="shared" si="304"/>
        <v>2907637.0962537429</v>
      </c>
      <c r="HG91" s="602">
        <f ca="1">IF(EE91&lt;DATEDIF(TODAY(),$HG$1,"M"),HF91,(HF91/EE91*DATEDIF(TODAY(),$HG$1,"M")))*0+200000</f>
        <v>200000</v>
      </c>
      <c r="HH91" s="608">
        <f ca="1">(HG91+HD91)/FZ91</f>
        <v>0.14829898632789448</v>
      </c>
      <c r="HI91" s="602">
        <f>'[1]GLOBAL OPERATION'!$AG$51</f>
        <v>1145828.3699999999</v>
      </c>
      <c r="HJ91" s="602">
        <f t="shared" si="257"/>
        <v>-875828.36999999988</v>
      </c>
      <c r="HK91" s="608">
        <f t="shared" si="253"/>
        <v>4.2438087777777778</v>
      </c>
      <c r="HL91" s="647" t="s">
        <v>781</v>
      </c>
      <c r="HM91" s="673"/>
      <c r="HN91" s="62"/>
      <c r="HO91" s="673"/>
      <c r="HP91" s="673">
        <f t="shared" si="236"/>
        <v>0</v>
      </c>
      <c r="HQ91" s="539"/>
      <c r="HR91" s="539"/>
      <c r="HS91" s="539"/>
      <c r="HT91" s="539"/>
      <c r="HU91" s="539"/>
      <c r="HV91" s="673"/>
      <c r="HW91" s="673">
        <f t="shared" si="326"/>
        <v>0</v>
      </c>
      <c r="HX91" s="539"/>
    </row>
    <row r="92" spans="1:232" ht="20.100000000000001" customHeight="1">
      <c r="A92" s="58" t="s">
        <v>771</v>
      </c>
      <c r="B92" s="31" t="s">
        <v>304</v>
      </c>
      <c r="C92" s="31" t="s">
        <v>91</v>
      </c>
      <c r="D92" s="31">
        <v>2019</v>
      </c>
      <c r="E92" s="31" t="s">
        <v>693</v>
      </c>
      <c r="F92" s="31" t="s">
        <v>903</v>
      </c>
      <c r="G92" s="31" t="s">
        <v>464</v>
      </c>
      <c r="H92" s="33" t="s">
        <v>140</v>
      </c>
      <c r="I92" s="31"/>
      <c r="J92" s="31" t="s">
        <v>673</v>
      </c>
      <c r="K92" s="180"/>
      <c r="L92" s="114" t="s">
        <v>674</v>
      </c>
      <c r="M92" s="115"/>
      <c r="N92" s="116"/>
      <c r="O92" s="142">
        <v>6860</v>
      </c>
      <c r="P92" s="142">
        <v>1500000</v>
      </c>
      <c r="Q92" s="142">
        <v>1500000</v>
      </c>
      <c r="R92" s="142">
        <f t="shared" si="305"/>
        <v>25000</v>
      </c>
      <c r="S92" s="142">
        <f t="shared" si="306"/>
        <v>218.65889212827989</v>
      </c>
      <c r="T92" s="148">
        <f t="shared" si="307"/>
        <v>218.65889212827989</v>
      </c>
      <c r="U92" s="148">
        <f t="shared" si="308"/>
        <v>281.6367224244791</v>
      </c>
      <c r="V92" s="148">
        <f t="shared" si="309"/>
        <v>25000</v>
      </c>
      <c r="W92" s="142">
        <f t="shared" si="310"/>
        <v>114.33333333333333</v>
      </c>
      <c r="X92" s="143"/>
      <c r="Y92" s="525">
        <f t="shared" si="290"/>
        <v>87.463556851311949</v>
      </c>
      <c r="Z92" s="143"/>
      <c r="AA92" s="143"/>
      <c r="AB92" s="144"/>
      <c r="AC92" s="31" t="s">
        <v>301</v>
      </c>
      <c r="AD92" s="493">
        <f t="shared" si="243"/>
        <v>60</v>
      </c>
      <c r="AE92" s="493">
        <f t="shared" si="291"/>
        <v>60</v>
      </c>
      <c r="AF92" s="42"/>
      <c r="AG92" s="42"/>
      <c r="AH92" s="31">
        <v>60</v>
      </c>
      <c r="AI92" s="31"/>
      <c r="AJ92" s="796">
        <v>4547.8599999999997</v>
      </c>
      <c r="AK92" s="276">
        <v>5326.01</v>
      </c>
      <c r="AL92" s="586">
        <f t="shared" si="244"/>
        <v>75.797666666666657</v>
      </c>
      <c r="AM92" s="8">
        <f t="shared" si="245"/>
        <v>88.766833333333338</v>
      </c>
      <c r="AN92" s="35">
        <v>11.65</v>
      </c>
      <c r="AO92" s="35">
        <v>9.7899999999999991</v>
      </c>
      <c r="AP92" s="35">
        <v>868.81</v>
      </c>
      <c r="AQ92" s="53"/>
      <c r="AR92" s="53"/>
      <c r="AS92" s="53"/>
      <c r="AT92" s="53"/>
      <c r="AU92" s="53"/>
      <c r="AV92" s="35"/>
      <c r="AW92" s="51" t="s">
        <v>133</v>
      </c>
      <c r="AX92" s="53" t="s">
        <v>133</v>
      </c>
      <c r="AY92" s="35"/>
      <c r="AZ92" s="31" t="s">
        <v>398</v>
      </c>
      <c r="BA92" s="31" t="s">
        <v>98</v>
      </c>
      <c r="BB92" s="160">
        <f>11010000</f>
        <v>11010000</v>
      </c>
      <c r="BC92" s="504">
        <f>BB92/AJ92</f>
        <v>2420.9188497447153</v>
      </c>
      <c r="BD92" s="505">
        <f>BB92/AK92</f>
        <v>2067.2135425956767</v>
      </c>
      <c r="BE92" s="392">
        <f>BB92/AD92</f>
        <v>183500</v>
      </c>
      <c r="BF92" s="165">
        <v>43208</v>
      </c>
      <c r="BG92" s="165"/>
      <c r="BH92" s="400" t="s">
        <v>800</v>
      </c>
      <c r="BI92" s="73">
        <v>43606</v>
      </c>
      <c r="BJ92" s="660">
        <v>43551</v>
      </c>
      <c r="BK92" s="660">
        <v>43627</v>
      </c>
      <c r="BL92" s="661"/>
      <c r="BM92" s="659">
        <f t="shared" si="246"/>
        <v>2.5333333333333332</v>
      </c>
      <c r="BN92" s="578" t="s">
        <v>235</v>
      </c>
      <c r="BO92" s="110">
        <v>43745</v>
      </c>
      <c r="BP92" s="139">
        <v>43802</v>
      </c>
      <c r="BQ92" s="654">
        <f t="shared" si="325"/>
        <v>1.9</v>
      </c>
      <c r="BR92" s="638">
        <v>104224</v>
      </c>
      <c r="BS92" s="110"/>
      <c r="BT92" s="110">
        <v>43794</v>
      </c>
      <c r="BU92" s="202"/>
      <c r="BV92" s="201">
        <f t="shared" si="292"/>
        <v>731</v>
      </c>
      <c r="BW92" s="439"/>
      <c r="BX92" s="201" t="str">
        <f t="shared" si="311"/>
        <v>oui</v>
      </c>
      <c r="BY92" s="557">
        <f t="shared" si="312"/>
        <v>-1465.5</v>
      </c>
      <c r="BZ92" s="439">
        <f t="shared" si="313"/>
        <v>0</v>
      </c>
      <c r="CA92" s="439">
        <f t="shared" si="314"/>
        <v>0</v>
      </c>
      <c r="CB92" s="339"/>
      <c r="CC92" s="341"/>
      <c r="CD92" s="341"/>
      <c r="CE92" s="343" t="str">
        <f t="shared" si="315"/>
        <v>0</v>
      </c>
      <c r="CF92" s="341"/>
      <c r="CG92" s="341"/>
      <c r="CH92" s="343" t="str">
        <f t="shared" si="316"/>
        <v>0</v>
      </c>
      <c r="CI92" s="341"/>
      <c r="CJ92" s="341"/>
      <c r="CK92" s="343" t="str">
        <f t="shared" si="317"/>
        <v>0</v>
      </c>
      <c r="CL92" s="341"/>
      <c r="CM92" s="341"/>
      <c r="CN92" s="343" t="str">
        <f t="shared" si="318"/>
        <v>0</v>
      </c>
      <c r="CO92" s="344"/>
      <c r="CP92" s="341"/>
      <c r="CQ92" s="343" t="str">
        <f t="shared" si="247"/>
        <v>0</v>
      </c>
      <c r="CR92" s="290"/>
      <c r="CS92" s="345"/>
      <c r="CT92" s="330"/>
      <c r="CU92" s="331"/>
      <c r="CV92" s="332" t="str">
        <f t="shared" si="263"/>
        <v>0</v>
      </c>
      <c r="CW92" s="330"/>
      <c r="CX92" s="449">
        <v>43966</v>
      </c>
      <c r="CY92" s="233"/>
      <c r="CZ92" s="284">
        <f t="shared" si="327"/>
        <v>11.3</v>
      </c>
      <c r="DA92" s="332" t="str">
        <f t="shared" si="293"/>
        <v>0</v>
      </c>
      <c r="DB92" s="450">
        <v>22</v>
      </c>
      <c r="DC92" s="169">
        <f t="shared" si="294"/>
        <v>23</v>
      </c>
      <c r="DD92" s="330"/>
      <c r="DE92" s="335">
        <f t="shared" ca="1" si="328"/>
        <v>43950</v>
      </c>
      <c r="DF92" s="332" t="str">
        <f t="shared" ca="1" si="319"/>
        <v>0</v>
      </c>
      <c r="DG92" s="330"/>
      <c r="DH92" s="348">
        <f t="shared" ca="1" si="329"/>
        <v>43950</v>
      </c>
      <c r="DI92" s="333" t="str">
        <f t="shared" ca="1" si="295"/>
        <v>0</v>
      </c>
      <c r="DJ92" s="334"/>
      <c r="DK92" s="348">
        <f t="shared" ca="1" si="330"/>
        <v>43950</v>
      </c>
      <c r="DL92" s="332" t="str">
        <f t="shared" ca="1" si="214"/>
        <v>0</v>
      </c>
      <c r="DM92" s="335"/>
      <c r="DN92" s="335">
        <f t="shared" ca="1" si="331"/>
        <v>43950</v>
      </c>
      <c r="DO92" s="332" t="str">
        <f t="shared" ca="1" si="296"/>
        <v>0</v>
      </c>
      <c r="DP92" s="336"/>
      <c r="DQ92" s="336"/>
      <c r="DR92" s="332" t="str">
        <f t="shared" si="297"/>
        <v>0</v>
      </c>
      <c r="DS92" s="335"/>
      <c r="DT92" s="335">
        <f t="shared" ca="1" si="332"/>
        <v>43950</v>
      </c>
      <c r="DU92" s="332" t="str">
        <f t="shared" ca="1" si="298"/>
        <v>0</v>
      </c>
      <c r="DV92" s="335"/>
      <c r="DW92" s="335">
        <f t="shared" ca="1" si="333"/>
        <v>43950</v>
      </c>
      <c r="DX92" s="332" t="str">
        <f t="shared" ca="1" si="299"/>
        <v>0</v>
      </c>
      <c r="DY92" s="335"/>
      <c r="DZ92" s="335"/>
      <c r="EA92" s="335"/>
      <c r="EB92" s="477">
        <f t="shared" si="258"/>
        <v>44635</v>
      </c>
      <c r="EC92" s="476">
        <f>DATE(YEAR(EB92),MONTH(EB92)+1,DAY(EB92))</f>
        <v>44666</v>
      </c>
      <c r="ED92" s="473">
        <f t="shared" si="248"/>
        <v>1.0333333333333334</v>
      </c>
      <c r="EE92" s="605">
        <f t="shared" ca="1" si="334"/>
        <v>23.866666666666667</v>
      </c>
      <c r="EF92" s="476">
        <f t="shared" ca="1" si="335"/>
        <v>44680</v>
      </c>
      <c r="EG92" s="535"/>
      <c r="EH92" s="526"/>
      <c r="EI92" s="536"/>
      <c r="EJ92" s="295"/>
      <c r="EK92" s="534">
        <f t="shared" si="242"/>
        <v>44666</v>
      </c>
      <c r="EL92" s="476">
        <f>DATE(YEAR(EC92),MONTH(EC92)+1,DAY(EC92))</f>
        <v>44696</v>
      </c>
      <c r="EM92" s="368"/>
      <c r="EN92" s="471">
        <f t="shared" si="320"/>
        <v>1</v>
      </c>
      <c r="EO92" s="461"/>
      <c r="EP92" s="173">
        <f t="shared" si="259"/>
        <v>0</v>
      </c>
      <c r="EQ92" s="77"/>
      <c r="ER92" s="353"/>
      <c r="ES92" s="353">
        <v>0</v>
      </c>
      <c r="ET92" s="353"/>
      <c r="EU92" s="353"/>
      <c r="EV92" s="353"/>
      <c r="EW92" s="483">
        <f t="shared" si="260"/>
        <v>0</v>
      </c>
      <c r="EX92" s="350"/>
      <c r="EY92" s="362"/>
      <c r="EZ92" s="350"/>
      <c r="FA92" s="31" t="s">
        <v>828</v>
      </c>
      <c r="FB92" s="126">
        <f t="shared" ca="1" si="321"/>
        <v>44680</v>
      </c>
      <c r="FC92" s="80"/>
      <c r="FD92" s="80"/>
      <c r="FE92" s="80"/>
      <c r="FF92" s="80"/>
      <c r="FG92" s="80"/>
      <c r="FH92" s="31"/>
      <c r="FI92" s="194">
        <f t="shared" si="289"/>
        <v>45031</v>
      </c>
      <c r="FJ92" s="194"/>
      <c r="FK92" s="31"/>
      <c r="FL92" s="31"/>
      <c r="FM92" s="31"/>
      <c r="FN92" s="31"/>
      <c r="FO92" s="31"/>
      <c r="FP92" s="31"/>
      <c r="FQ92" s="31"/>
      <c r="FR92" s="31"/>
      <c r="FS92" s="31"/>
      <c r="FT92" s="31"/>
      <c r="FU92" s="31"/>
      <c r="FV92" s="31"/>
      <c r="FW92" s="31"/>
      <c r="FX92" s="529"/>
      <c r="FY92" s="652">
        <f t="shared" si="249"/>
        <v>11489240.451630197</v>
      </c>
      <c r="FZ92" s="550">
        <f t="shared" si="264"/>
        <v>11489240.451630197</v>
      </c>
      <c r="GA92" s="45">
        <f t="shared" si="322"/>
        <v>11489240.451630197</v>
      </c>
      <c r="GB92" s="602">
        <f>GM92+GN92+GR92+GV92</f>
        <v>0</v>
      </c>
      <c r="GC92" s="28">
        <f t="shared" si="250"/>
        <v>2157.1946826292474</v>
      </c>
      <c r="GD92" s="28">
        <f t="shared" si="261"/>
        <v>191487.34086050329</v>
      </c>
      <c r="GE92" s="775">
        <v>4167541.411448</v>
      </c>
      <c r="GF92" s="776">
        <v>4167541.411448</v>
      </c>
      <c r="GG92" s="28">
        <f t="shared" si="323"/>
        <v>69459.023524133328</v>
      </c>
      <c r="GH92" s="775">
        <f>GI92+GJ92</f>
        <v>5974405.0348477028</v>
      </c>
      <c r="GI92" s="774">
        <v>1454945.2152153836</v>
      </c>
      <c r="GJ92" s="774">
        <v>4519459.8196323197</v>
      </c>
      <c r="GK92" s="407">
        <f t="shared" si="262"/>
        <v>99573.417247461708</v>
      </c>
      <c r="GL92" s="775">
        <v>1347294.0053344956</v>
      </c>
      <c r="GM92" s="45">
        <v>0</v>
      </c>
      <c r="GN92" s="45"/>
      <c r="GO92" s="23">
        <f t="shared" si="251"/>
        <v>0</v>
      </c>
      <c r="GP92" s="45"/>
      <c r="GQ92" s="45"/>
      <c r="GR92" s="45"/>
      <c r="GS92" s="28">
        <f t="shared" si="300"/>
        <v>0</v>
      </c>
      <c r="GT92" s="28">
        <f t="shared" si="301"/>
        <v>69459.023524133328</v>
      </c>
      <c r="GU92" s="682"/>
      <c r="GV92" s="682"/>
      <c r="GW92" s="680">
        <f t="shared" si="336"/>
        <v>69459.023524133328</v>
      </c>
      <c r="GX92" s="682"/>
      <c r="GY92" s="682">
        <f t="shared" si="302"/>
        <v>69459.023524133328</v>
      </c>
      <c r="GZ92" s="681">
        <f t="shared" si="324"/>
        <v>0.36273428421951703</v>
      </c>
      <c r="HA92" s="682"/>
      <c r="HB92" s="682"/>
      <c r="HC92" s="45">
        <f>ES92</f>
        <v>0</v>
      </c>
      <c r="HD92" s="602">
        <v>99590</v>
      </c>
      <c r="HE92" s="608">
        <f t="shared" si="303"/>
        <v>8.6681099955453773E-3</v>
      </c>
      <c r="HF92" s="602">
        <f t="shared" si="304"/>
        <v>11389650.451630197</v>
      </c>
      <c r="HG92" s="602">
        <f ca="1">IF(EE92&lt;DATEDIF(TODAY(),$HG$1,"M"),HF92,(HF92/EE92*DATEDIF(TODAY(),$HG$1,"M")))*0</f>
        <v>0</v>
      </c>
      <c r="HH92" s="608">
        <f ca="1">(HD92+HG92)/FZ92</f>
        <v>8.6681099955453773E-3</v>
      </c>
      <c r="HI92" s="602"/>
      <c r="HJ92" s="602">
        <f t="shared" si="257"/>
        <v>0</v>
      </c>
      <c r="HK92" s="602" t="e">
        <f t="shared" si="253"/>
        <v>#DIV/0!</v>
      </c>
      <c r="HL92" s="602"/>
      <c r="HM92" s="673"/>
      <c r="HN92" s="62"/>
      <c r="HO92" s="673"/>
      <c r="HP92" s="673">
        <f t="shared" si="236"/>
        <v>0</v>
      </c>
      <c r="HQ92" s="539"/>
      <c r="HR92" s="539"/>
      <c r="HS92" s="539"/>
      <c r="HT92" s="539"/>
      <c r="HU92" s="539"/>
      <c r="HV92" s="673"/>
      <c r="HW92" s="673">
        <f t="shared" si="326"/>
        <v>0</v>
      </c>
      <c r="HX92" s="539"/>
    </row>
    <row r="93" spans="1:232" ht="20.100000000000001" customHeight="1">
      <c r="A93" s="560" t="s">
        <v>282</v>
      </c>
      <c r="B93" s="31" t="s">
        <v>21</v>
      </c>
      <c r="C93" s="31" t="s">
        <v>90</v>
      </c>
      <c r="D93" s="31">
        <v>2017</v>
      </c>
      <c r="E93" s="31" t="s">
        <v>290</v>
      </c>
      <c r="F93" s="31" t="s">
        <v>709</v>
      </c>
      <c r="G93" s="31" t="s">
        <v>606</v>
      </c>
      <c r="H93" s="31" t="s">
        <v>140</v>
      </c>
      <c r="I93" s="31"/>
      <c r="J93" s="31" t="s">
        <v>283</v>
      </c>
      <c r="K93" s="180" t="s">
        <v>599</v>
      </c>
      <c r="L93" s="114"/>
      <c r="M93" s="115"/>
      <c r="N93" s="116"/>
      <c r="O93" s="142">
        <v>1953</v>
      </c>
      <c r="P93" s="142">
        <v>452000</v>
      </c>
      <c r="Q93" s="142"/>
      <c r="R93" s="142">
        <f t="shared" si="305"/>
        <v>17384.615384615383</v>
      </c>
      <c r="S93" s="142">
        <f t="shared" si="306"/>
        <v>231.43881208397337</v>
      </c>
      <c r="T93" s="148">
        <f t="shared" si="307"/>
        <v>0</v>
      </c>
      <c r="U93" s="148">
        <f t="shared" si="308"/>
        <v>0</v>
      </c>
      <c r="V93" s="148">
        <f t="shared" si="309"/>
        <v>0</v>
      </c>
      <c r="W93" s="142">
        <f t="shared" si="310"/>
        <v>75.115384615384613</v>
      </c>
      <c r="X93" s="143"/>
      <c r="Y93" s="522">
        <f t="shared" si="290"/>
        <v>133.12852022529441</v>
      </c>
      <c r="Z93" s="143" t="s">
        <v>147</v>
      </c>
      <c r="AA93" s="143">
        <v>590</v>
      </c>
      <c r="AB93" s="144"/>
      <c r="AC93" s="31" t="s">
        <v>10</v>
      </c>
      <c r="AD93" s="493">
        <f t="shared" si="243"/>
        <v>26</v>
      </c>
      <c r="AE93" s="493">
        <f t="shared" si="291"/>
        <v>26</v>
      </c>
      <c r="AF93" s="42"/>
      <c r="AG93" s="31">
        <v>26</v>
      </c>
      <c r="AH93" s="42"/>
      <c r="AI93" s="42"/>
      <c r="AJ93" s="796">
        <v>1610.5700000000002</v>
      </c>
      <c r="AK93" s="276">
        <v>1719.7449999999999</v>
      </c>
      <c r="AL93" s="586">
        <f t="shared" si="244"/>
        <v>61.945000000000007</v>
      </c>
      <c r="AM93" s="8">
        <f t="shared" si="245"/>
        <v>66.144038461538457</v>
      </c>
      <c r="AN93" s="35">
        <v>5.95</v>
      </c>
      <c r="AO93" s="35">
        <v>5.57</v>
      </c>
      <c r="AP93" s="35">
        <v>368.65</v>
      </c>
      <c r="AQ93" s="53"/>
      <c r="AR93" s="53">
        <f>26/AD93</f>
        <v>1</v>
      </c>
      <c r="AS93" s="53"/>
      <c r="AT93" s="53"/>
      <c r="AU93" s="53"/>
      <c r="AV93" s="35"/>
      <c r="AW93" s="35" t="s">
        <v>133</v>
      </c>
      <c r="AX93" s="35"/>
      <c r="AY93" s="35">
        <v>4</v>
      </c>
      <c r="AZ93" s="34" t="s">
        <v>398</v>
      </c>
      <c r="BA93" s="31" t="s">
        <v>98</v>
      </c>
      <c r="BB93" s="31"/>
      <c r="BC93" s="31"/>
      <c r="BD93" s="31"/>
      <c r="BE93" s="31"/>
      <c r="BF93" s="164">
        <v>42691</v>
      </c>
      <c r="BG93" s="164"/>
      <c r="BH93" s="126">
        <v>42793</v>
      </c>
      <c r="BI93" s="381" t="s">
        <v>797</v>
      </c>
      <c r="BJ93" s="660">
        <v>42824</v>
      </c>
      <c r="BK93" s="660">
        <v>42970</v>
      </c>
      <c r="BL93" s="661">
        <v>42999</v>
      </c>
      <c r="BM93" s="659">
        <f t="shared" si="246"/>
        <v>4.8666666666666663</v>
      </c>
      <c r="BN93" s="578" t="s">
        <v>235</v>
      </c>
      <c r="BO93" s="452"/>
      <c r="BP93" s="554"/>
      <c r="BQ93" s="654">
        <f t="shared" si="325"/>
        <v>0</v>
      </c>
      <c r="BR93" s="639"/>
      <c r="BS93" s="452">
        <f>DATE(YEAR(BP93),MONTH(BP93)+3,DAY(BP93))</f>
        <v>91</v>
      </c>
      <c r="BT93" s="110"/>
      <c r="BU93" s="202"/>
      <c r="BV93" s="201">
        <f t="shared" si="292"/>
        <v>731</v>
      </c>
      <c r="BW93" s="439"/>
      <c r="BX93" s="201" t="str">
        <f t="shared" si="311"/>
        <v>oui</v>
      </c>
      <c r="BY93" s="557">
        <f t="shared" si="312"/>
        <v>-1465.6666666666667</v>
      </c>
      <c r="BZ93" s="439" t="str">
        <f t="shared" si="313"/>
        <v>0</v>
      </c>
      <c r="CA93" s="439">
        <f t="shared" si="314"/>
        <v>0</v>
      </c>
      <c r="CB93" s="214"/>
      <c r="CC93" s="81"/>
      <c r="CD93" s="81"/>
      <c r="CE93" s="343" t="str">
        <f t="shared" si="315"/>
        <v>0</v>
      </c>
      <c r="CF93" s="214"/>
      <c r="CG93" s="214"/>
      <c r="CH93" s="326" t="str">
        <f t="shared" si="316"/>
        <v>0</v>
      </c>
      <c r="CI93" s="214"/>
      <c r="CJ93" s="214"/>
      <c r="CK93" s="326" t="str">
        <f t="shared" si="317"/>
        <v>0</v>
      </c>
      <c r="CL93" s="81"/>
      <c r="CM93" s="214"/>
      <c r="CN93" s="326" t="str">
        <f t="shared" si="318"/>
        <v>0</v>
      </c>
      <c r="CO93" s="81"/>
      <c r="CP93" s="81"/>
      <c r="CQ93" s="326" t="str">
        <f t="shared" si="247"/>
        <v>0</v>
      </c>
      <c r="CR93" s="290"/>
      <c r="CS93" s="339"/>
      <c r="CT93" s="337"/>
      <c r="CU93" s="335"/>
      <c r="CV93" s="332"/>
      <c r="CW93" s="337"/>
      <c r="CX93" s="449">
        <v>44063</v>
      </c>
      <c r="CY93" s="233"/>
      <c r="CZ93" s="284">
        <f t="shared" si="327"/>
        <v>36.43333333333333</v>
      </c>
      <c r="DA93" s="332" t="str">
        <f t="shared" si="293"/>
        <v>0</v>
      </c>
      <c r="DB93" s="450">
        <v>16</v>
      </c>
      <c r="DC93" s="169">
        <f t="shared" si="294"/>
        <v>20</v>
      </c>
      <c r="DD93" s="330">
        <v>43739</v>
      </c>
      <c r="DE93" s="335">
        <f t="shared" ca="1" si="328"/>
        <v>43950</v>
      </c>
      <c r="DF93" s="332">
        <f t="shared" ca="1" si="319"/>
        <v>211</v>
      </c>
      <c r="DG93" s="330">
        <f>DATE(YEAR(DD93),MONTH(DD93)+2,DAY(DD93))</f>
        <v>43800</v>
      </c>
      <c r="DH93" s="348">
        <f t="shared" ca="1" si="329"/>
        <v>43950</v>
      </c>
      <c r="DI93" s="333">
        <f t="shared" ca="1" si="295"/>
        <v>150</v>
      </c>
      <c r="DJ93" s="335"/>
      <c r="DK93" s="348">
        <f t="shared" ca="1" si="330"/>
        <v>43950</v>
      </c>
      <c r="DL93" s="332" t="str">
        <f t="shared" ca="1" si="214"/>
        <v>0</v>
      </c>
      <c r="DM93" s="335"/>
      <c r="DN93" s="335">
        <f t="shared" ca="1" si="331"/>
        <v>43950</v>
      </c>
      <c r="DO93" s="332" t="str">
        <f t="shared" ca="1" si="296"/>
        <v>0</v>
      </c>
      <c r="DP93" s="336"/>
      <c r="DQ93" s="336"/>
      <c r="DR93" s="332" t="str">
        <f t="shared" si="297"/>
        <v>0</v>
      </c>
      <c r="DS93" s="335"/>
      <c r="DT93" s="335">
        <f t="shared" ca="1" si="332"/>
        <v>43950</v>
      </c>
      <c r="DU93" s="332" t="str">
        <f t="shared" ca="1" si="298"/>
        <v>0</v>
      </c>
      <c r="DV93" s="335"/>
      <c r="DW93" s="335">
        <f t="shared" ca="1" si="333"/>
        <v>43950</v>
      </c>
      <c r="DX93" s="332" t="str">
        <f t="shared" ca="1" si="299"/>
        <v>0</v>
      </c>
      <c r="DY93" s="335"/>
      <c r="DZ93" s="335"/>
      <c r="EA93" s="335"/>
      <c r="EB93" s="477">
        <f t="shared" si="258"/>
        <v>44550</v>
      </c>
      <c r="EC93" s="476">
        <f>DATE(YEAR(EB93),MONTH(EB93)+4,DAY(EB93))</f>
        <v>44671</v>
      </c>
      <c r="ED93" s="473">
        <f t="shared" si="248"/>
        <v>4.0333333333333332</v>
      </c>
      <c r="EE93" s="605">
        <f t="shared" ca="1" si="334"/>
        <v>24.033333333333335</v>
      </c>
      <c r="EF93" s="476">
        <f t="shared" ca="1" si="335"/>
        <v>44680</v>
      </c>
      <c r="EG93" s="535"/>
      <c r="EH93" s="526"/>
      <c r="EI93" s="536"/>
      <c r="EJ93" s="295"/>
      <c r="EK93" s="534">
        <f t="shared" si="242"/>
        <v>44581</v>
      </c>
      <c r="EL93" s="476">
        <f>DATE(YEAR(EC93),MONTH(EC93)+1,DAY(EC93))</f>
        <v>44701</v>
      </c>
      <c r="EM93" s="368"/>
      <c r="EN93" s="471">
        <f t="shared" si="320"/>
        <v>4</v>
      </c>
      <c r="EO93" s="461">
        <v>9653.98</v>
      </c>
      <c r="EP93" s="173">
        <f t="shared" si="259"/>
        <v>38615.919999999998</v>
      </c>
      <c r="EQ93" s="77"/>
      <c r="ER93" s="353">
        <v>0</v>
      </c>
      <c r="ES93" s="353">
        <v>0</v>
      </c>
      <c r="ET93" s="353"/>
      <c r="EU93" s="353"/>
      <c r="EV93" s="353"/>
      <c r="EW93" s="483">
        <f t="shared" si="260"/>
        <v>0</v>
      </c>
      <c r="EX93" s="350"/>
      <c r="EY93" s="362"/>
      <c r="EZ93" s="362"/>
      <c r="FA93" s="350" t="s">
        <v>809</v>
      </c>
      <c r="FB93" s="126">
        <f t="shared" ca="1" si="321"/>
        <v>44680</v>
      </c>
      <c r="FC93" s="80"/>
      <c r="FD93" s="80"/>
      <c r="FE93" s="80"/>
      <c r="FF93" s="80"/>
      <c r="FG93" s="80"/>
      <c r="FH93" s="31"/>
      <c r="FI93" s="194">
        <f t="shared" si="289"/>
        <v>45036</v>
      </c>
      <c r="FJ93" s="194"/>
      <c r="FK93" s="31"/>
      <c r="FL93" s="31"/>
      <c r="FM93" s="31"/>
      <c r="FN93" s="31"/>
      <c r="FO93" s="31"/>
      <c r="FP93" s="31"/>
      <c r="FQ93" s="31"/>
      <c r="FR93" s="31"/>
      <c r="FS93" s="31"/>
      <c r="FT93" s="31"/>
      <c r="FU93" s="31"/>
      <c r="FV93" s="31"/>
      <c r="FW93" s="31"/>
      <c r="FX93" s="529"/>
      <c r="FY93" s="652">
        <f t="shared" si="249"/>
        <v>4194548.7192525212</v>
      </c>
      <c r="FZ93" s="550">
        <f t="shared" si="264"/>
        <v>4194548.7192525212</v>
      </c>
      <c r="GA93" s="45">
        <f t="shared" si="322"/>
        <v>4194548.7192525212</v>
      </c>
      <c r="GB93" s="602">
        <f>GM93+GN93+GR93+GQ93+GV93+GX93</f>
        <v>520000</v>
      </c>
      <c r="GC93" s="28">
        <f t="shared" si="250"/>
        <v>2439.0527195907075</v>
      </c>
      <c r="GD93" s="28">
        <f t="shared" si="261"/>
        <v>161328.79689432774</v>
      </c>
      <c r="GE93" s="49">
        <v>1352602</v>
      </c>
      <c r="GF93" s="417"/>
      <c r="GG93" s="28">
        <f t="shared" si="323"/>
        <v>52023.153846153844</v>
      </c>
      <c r="GH93" s="49">
        <f>GI93+GJ93</f>
        <v>1801946.7192525216</v>
      </c>
      <c r="GI93" s="624">
        <v>462151.758421515</v>
      </c>
      <c r="GJ93" s="624">
        <v>1339794.9608310065</v>
      </c>
      <c r="GK93" s="407">
        <f t="shared" si="262"/>
        <v>69305.643048173908</v>
      </c>
      <c r="GL93" s="827"/>
      <c r="GM93" s="45">
        <v>520000</v>
      </c>
      <c r="GN93" s="45"/>
      <c r="GO93" s="23">
        <f t="shared" si="251"/>
        <v>0.12397042800176732</v>
      </c>
      <c r="GP93" s="60"/>
      <c r="GQ93" s="60"/>
      <c r="GR93" s="45"/>
      <c r="GS93" s="28">
        <f t="shared" si="300"/>
        <v>20000</v>
      </c>
      <c r="GT93" s="28">
        <f t="shared" si="301"/>
        <v>72023.153846153844</v>
      </c>
      <c r="GU93" s="682"/>
      <c r="GV93" s="682"/>
      <c r="GW93" s="680">
        <f t="shared" si="336"/>
        <v>72023.153846153844</v>
      </c>
      <c r="GX93" s="682"/>
      <c r="GY93" s="682">
        <f t="shared" si="302"/>
        <v>72023.153846153844</v>
      </c>
      <c r="GZ93" s="681">
        <f t="shared" si="324"/>
        <v>0.44643706041724129</v>
      </c>
      <c r="HA93" s="682"/>
      <c r="HB93" s="682"/>
      <c r="HC93" s="45">
        <v>520000</v>
      </c>
      <c r="HD93" s="610">
        <f>(405730.42+17464)*1.021</f>
        <v>432081.50281999994</v>
      </c>
      <c r="HE93" s="608">
        <f t="shared" si="303"/>
        <v>0.10301024776200428</v>
      </c>
      <c r="HF93" s="602">
        <f t="shared" si="304"/>
        <v>3762467.2164325211</v>
      </c>
      <c r="HG93" s="602">
        <f ca="1">IF(EE93&lt;DATEDIF(TODAY(),$HG$1,"M"),HF93,(HF93/EE93*DATEDIF(TODAY(),$HG$1,"M")))*0+296000+100000</f>
        <v>396000</v>
      </c>
      <c r="HH93" s="608">
        <f ca="1">(HG93+HD93)/FZ93</f>
        <v>0.19741849677873477</v>
      </c>
      <c r="HI93" s="602">
        <f>'[1]GLOBAL OPERATION'!$AG$64</f>
        <v>1400282.29</v>
      </c>
      <c r="HJ93" s="602">
        <f t="shared" si="257"/>
        <v>-880282.29</v>
      </c>
      <c r="HK93" s="608">
        <f t="shared" si="253"/>
        <v>2.6928505576923079</v>
      </c>
      <c r="HL93" s="647" t="s">
        <v>780</v>
      </c>
      <c r="HM93" s="673"/>
      <c r="HN93" s="62"/>
      <c r="HO93" s="673"/>
      <c r="HP93" s="673">
        <f t="shared" si="236"/>
        <v>0</v>
      </c>
      <c r="HQ93" s="539"/>
      <c r="HR93" s="539"/>
      <c r="HS93" s="539"/>
      <c r="HT93" s="539"/>
      <c r="HU93" s="539"/>
      <c r="HV93" s="673"/>
      <c r="HW93" s="673">
        <f t="shared" si="326"/>
        <v>0</v>
      </c>
      <c r="HX93" s="539"/>
    </row>
    <row r="94" spans="1:232" ht="28.5" customHeight="1">
      <c r="A94" s="58" t="s">
        <v>897</v>
      </c>
      <c r="B94" s="31" t="s">
        <v>21</v>
      </c>
      <c r="C94" s="31" t="s">
        <v>90</v>
      </c>
      <c r="D94" s="31">
        <v>2019</v>
      </c>
      <c r="E94" s="31" t="s">
        <v>691</v>
      </c>
      <c r="F94" s="31" t="s">
        <v>16</v>
      </c>
      <c r="G94" s="31" t="s">
        <v>606</v>
      </c>
      <c r="H94" s="31" t="s">
        <v>140</v>
      </c>
      <c r="I94" s="31"/>
      <c r="J94" s="31" t="s">
        <v>610</v>
      </c>
      <c r="K94" s="180"/>
      <c r="L94" s="114"/>
      <c r="M94" s="115"/>
      <c r="N94" s="116"/>
      <c r="O94" s="142">
        <v>1048</v>
      </c>
      <c r="P94" s="142"/>
      <c r="Q94" s="142"/>
      <c r="R94" s="142">
        <f t="shared" si="305"/>
        <v>0</v>
      </c>
      <c r="S94" s="142">
        <f t="shared" si="306"/>
        <v>0</v>
      </c>
      <c r="T94" s="148">
        <f t="shared" si="307"/>
        <v>0</v>
      </c>
      <c r="U94" s="148">
        <f t="shared" si="308"/>
        <v>0</v>
      </c>
      <c r="V94" s="148">
        <f t="shared" si="309"/>
        <v>0</v>
      </c>
      <c r="W94" s="142">
        <f t="shared" si="310"/>
        <v>47.636363636363633</v>
      </c>
      <c r="X94" s="143"/>
      <c r="Y94" s="525">
        <f t="shared" si="290"/>
        <v>209.92366412213741</v>
      </c>
      <c r="Z94" s="143" t="s">
        <v>164</v>
      </c>
      <c r="AA94" s="143">
        <v>520</v>
      </c>
      <c r="AB94" s="144"/>
      <c r="AC94" s="32" t="s">
        <v>9</v>
      </c>
      <c r="AD94" s="493">
        <f t="shared" si="243"/>
        <v>22</v>
      </c>
      <c r="AE94" s="493">
        <f t="shared" si="291"/>
        <v>22</v>
      </c>
      <c r="AF94" s="31">
        <v>22</v>
      </c>
      <c r="AG94" s="42"/>
      <c r="AH94" s="42"/>
      <c r="AI94" s="42"/>
      <c r="AJ94" s="797">
        <v>1604.27</v>
      </c>
      <c r="AK94" s="276">
        <v>1879.27</v>
      </c>
      <c r="AL94" s="586">
        <f t="shared" si="244"/>
        <v>72.921363636363637</v>
      </c>
      <c r="AM94" s="8">
        <f t="shared" si="245"/>
        <v>85.421363636363637</v>
      </c>
      <c r="AN94" s="35"/>
      <c r="AO94" s="35"/>
      <c r="AP94" s="35"/>
      <c r="AQ94" s="53"/>
      <c r="AR94" s="53"/>
      <c r="AS94" s="53">
        <f>14/AD94</f>
        <v>0.63636363636363635</v>
      </c>
      <c r="AT94" s="53">
        <f>8/AD94</f>
        <v>0.36363636363636365</v>
      </c>
      <c r="AU94" s="53"/>
      <c r="AV94" s="35"/>
      <c r="AW94" s="51" t="s">
        <v>133</v>
      </c>
      <c r="AX94" s="51" t="s">
        <v>133</v>
      </c>
      <c r="AY94" s="35">
        <v>5</v>
      </c>
      <c r="AZ94" s="31" t="s">
        <v>398</v>
      </c>
      <c r="BA94" s="31" t="s">
        <v>98</v>
      </c>
      <c r="BB94" s="160">
        <v>3818851.9754001913</v>
      </c>
      <c r="BC94" s="504">
        <f>BB94/AJ94</f>
        <v>2380.4297128290073</v>
      </c>
      <c r="BD94" s="388">
        <f>BB94/AK94</f>
        <v>2032.0932997388302</v>
      </c>
      <c r="BE94" s="392">
        <f>BB94/AD94</f>
        <v>173584.1807000087</v>
      </c>
      <c r="BF94" s="165">
        <v>43426</v>
      </c>
      <c r="BG94" s="165"/>
      <c r="BH94" s="73">
        <v>43522</v>
      </c>
      <c r="BI94" s="73">
        <v>43713</v>
      </c>
      <c r="BJ94" s="660">
        <v>43543</v>
      </c>
      <c r="BK94" s="660">
        <v>43788</v>
      </c>
      <c r="BL94" s="661"/>
      <c r="BM94" s="659">
        <f t="shared" si="246"/>
        <v>8.1666666666666661</v>
      </c>
      <c r="BN94" s="578" t="s">
        <v>235</v>
      </c>
      <c r="BO94" s="110">
        <v>43803</v>
      </c>
      <c r="BP94" s="139">
        <v>43864</v>
      </c>
      <c r="BQ94" s="654">
        <f t="shared" si="325"/>
        <v>2.0333333333333332</v>
      </c>
      <c r="BR94" s="638">
        <v>106176</v>
      </c>
      <c r="BS94" s="110"/>
      <c r="BT94" s="110">
        <v>43868</v>
      </c>
      <c r="BU94" s="202"/>
      <c r="BV94" s="201">
        <f t="shared" si="292"/>
        <v>731</v>
      </c>
      <c r="BW94" s="439"/>
      <c r="BX94" s="201" t="str">
        <f t="shared" si="311"/>
        <v>oui</v>
      </c>
      <c r="BY94" s="557">
        <f t="shared" si="312"/>
        <v>-1466.7</v>
      </c>
      <c r="BZ94" s="439">
        <f t="shared" si="313"/>
        <v>0</v>
      </c>
      <c r="CA94" s="439">
        <f t="shared" si="314"/>
        <v>0</v>
      </c>
      <c r="CB94" s="81"/>
      <c r="CC94" s="81"/>
      <c r="CD94" s="81"/>
      <c r="CE94" s="326" t="str">
        <f t="shared" si="315"/>
        <v>0</v>
      </c>
      <c r="CF94" s="81">
        <v>43504</v>
      </c>
      <c r="CG94" s="81">
        <v>43504</v>
      </c>
      <c r="CH94" s="326">
        <f t="shared" si="316"/>
        <v>0</v>
      </c>
      <c r="CI94" s="81"/>
      <c r="CJ94" s="81"/>
      <c r="CK94" s="326" t="str">
        <f t="shared" si="317"/>
        <v>0</v>
      </c>
      <c r="CL94" s="81"/>
      <c r="CM94" s="81"/>
      <c r="CN94" s="326" t="str">
        <f t="shared" si="318"/>
        <v>0</v>
      </c>
      <c r="CO94" s="83"/>
      <c r="CP94" s="81"/>
      <c r="CQ94" s="326" t="str">
        <f t="shared" si="247"/>
        <v>0</v>
      </c>
      <c r="CR94" s="666"/>
      <c r="CS94" s="159"/>
      <c r="CT94" s="330"/>
      <c r="CU94" s="331"/>
      <c r="CV94" s="332" t="str">
        <f t="shared" ref="CV94:CV126" si="337">IF(AND(CT94&gt;0,CU94&gt;0),CU94-CT94,"0")</f>
        <v>0</v>
      </c>
      <c r="CW94" s="330"/>
      <c r="CX94" s="449">
        <v>44063</v>
      </c>
      <c r="CY94" s="233"/>
      <c r="CZ94" s="284">
        <f t="shared" si="327"/>
        <v>9.1666666666666661</v>
      </c>
      <c r="DA94" s="332" t="str">
        <f t="shared" si="293"/>
        <v>0</v>
      </c>
      <c r="DB94" s="450">
        <v>21</v>
      </c>
      <c r="DC94" s="169">
        <f t="shared" si="294"/>
        <v>22</v>
      </c>
      <c r="DD94" s="330"/>
      <c r="DE94" s="335">
        <f t="shared" ca="1" si="328"/>
        <v>43950</v>
      </c>
      <c r="DF94" s="332" t="str">
        <f t="shared" ca="1" si="319"/>
        <v>0</v>
      </c>
      <c r="DG94" s="330"/>
      <c r="DH94" s="348">
        <f t="shared" ca="1" si="329"/>
        <v>43950</v>
      </c>
      <c r="DI94" s="333" t="str">
        <f t="shared" ca="1" si="295"/>
        <v>0</v>
      </c>
      <c r="DJ94" s="334"/>
      <c r="DK94" s="348">
        <f t="shared" ca="1" si="330"/>
        <v>43950</v>
      </c>
      <c r="DL94" s="332" t="str">
        <f t="shared" ca="1" si="214"/>
        <v>0</v>
      </c>
      <c r="DM94" s="335"/>
      <c r="DN94" s="335">
        <f t="shared" ca="1" si="331"/>
        <v>43950</v>
      </c>
      <c r="DO94" s="332" t="str">
        <f t="shared" ca="1" si="296"/>
        <v>0</v>
      </c>
      <c r="DP94" s="336"/>
      <c r="DQ94" s="336"/>
      <c r="DR94" s="332" t="str">
        <f t="shared" si="297"/>
        <v>0</v>
      </c>
      <c r="DS94" s="335"/>
      <c r="DT94" s="335">
        <f t="shared" ca="1" si="332"/>
        <v>43950</v>
      </c>
      <c r="DU94" s="332" t="str">
        <f t="shared" ca="1" si="298"/>
        <v>0</v>
      </c>
      <c r="DV94" s="335"/>
      <c r="DW94" s="335">
        <f t="shared" ca="1" si="333"/>
        <v>43950</v>
      </c>
      <c r="DX94" s="332" t="str">
        <f t="shared" ca="1" si="299"/>
        <v>0</v>
      </c>
      <c r="DY94" s="335"/>
      <c r="DZ94" s="335"/>
      <c r="EA94" s="335"/>
      <c r="EB94" s="477">
        <f t="shared" si="258"/>
        <v>44701</v>
      </c>
      <c r="EC94" s="476">
        <f>DATE(YEAR(EB94),MONTH(EB94)+1,DAY(EB94))</f>
        <v>44732</v>
      </c>
      <c r="ED94" s="473">
        <f t="shared" si="248"/>
        <v>1.0333333333333334</v>
      </c>
      <c r="EE94" s="605">
        <f t="shared" ca="1" si="334"/>
        <v>26.066666666666666</v>
      </c>
      <c r="EF94" s="476">
        <f t="shared" ca="1" si="335"/>
        <v>44680</v>
      </c>
      <c r="EG94" s="795"/>
      <c r="EH94" s="526"/>
      <c r="EI94" s="536"/>
      <c r="EJ94" s="295"/>
      <c r="EK94" s="534">
        <f t="shared" si="242"/>
        <v>44732</v>
      </c>
      <c r="EL94" s="476">
        <f>DATE(YEAR(EC94),MONTH(EC94),DAY(EC94))</f>
        <v>44732</v>
      </c>
      <c r="EM94" s="368"/>
      <c r="EN94" s="471">
        <f t="shared" si="320"/>
        <v>0</v>
      </c>
      <c r="EO94" s="461"/>
      <c r="EP94" s="173">
        <f t="shared" si="259"/>
        <v>0</v>
      </c>
      <c r="EQ94" s="77"/>
      <c r="ER94" s="353"/>
      <c r="ES94" s="353"/>
      <c r="ET94" s="353"/>
      <c r="EU94" s="353"/>
      <c r="EV94" s="353"/>
      <c r="EW94" s="483">
        <f t="shared" si="260"/>
        <v>0</v>
      </c>
      <c r="EX94" s="350"/>
      <c r="EY94" s="362"/>
      <c r="EZ94" s="350"/>
      <c r="FA94" s="33" t="s">
        <v>829</v>
      </c>
      <c r="FB94" s="126">
        <f t="shared" ca="1" si="321"/>
        <v>44680</v>
      </c>
      <c r="FC94" s="80"/>
      <c r="FD94" s="80"/>
      <c r="FE94" s="80"/>
      <c r="FF94" s="80"/>
      <c r="FG94" s="80"/>
      <c r="FH94" s="31"/>
      <c r="FI94" s="194">
        <f t="shared" si="289"/>
        <v>45097</v>
      </c>
      <c r="FJ94" s="194"/>
      <c r="FK94" s="31"/>
      <c r="FL94" s="31"/>
      <c r="FM94" s="31"/>
      <c r="FN94" s="31"/>
      <c r="FO94" s="31"/>
      <c r="FP94" s="31"/>
      <c r="FQ94" s="31"/>
      <c r="FR94" s="31"/>
      <c r="FS94" s="31"/>
      <c r="FT94" s="31"/>
      <c r="FU94" s="31"/>
      <c r="FV94" s="31"/>
      <c r="FW94" s="31"/>
      <c r="FX94" s="529"/>
      <c r="FY94" s="652">
        <f t="shared" si="249"/>
        <v>4002398</v>
      </c>
      <c r="FZ94" s="550">
        <f t="shared" si="264"/>
        <v>4002398</v>
      </c>
      <c r="GA94" s="699">
        <f t="shared" si="322"/>
        <v>4002398</v>
      </c>
      <c r="GB94" s="602">
        <f>GM94+GN94+GR94+GV94</f>
        <v>440000</v>
      </c>
      <c r="GC94" s="28">
        <f t="shared" si="250"/>
        <v>2129.7620884705229</v>
      </c>
      <c r="GD94" s="28">
        <f t="shared" si="261"/>
        <v>181927.18181818182</v>
      </c>
      <c r="GE94" s="775">
        <v>1274049</v>
      </c>
      <c r="GF94" s="419">
        <v>1274049.6455190163</v>
      </c>
      <c r="GG94" s="28">
        <f t="shared" si="323"/>
        <v>57911.318181818184</v>
      </c>
      <c r="GH94" s="775">
        <f>GI94+GJ94</f>
        <v>2288349</v>
      </c>
      <c r="GI94" s="774">
        <v>380067</v>
      </c>
      <c r="GJ94" s="774">
        <v>1908282</v>
      </c>
      <c r="GK94" s="407">
        <f t="shared" si="262"/>
        <v>104015.86363636363</v>
      </c>
      <c r="GL94" s="623"/>
      <c r="GM94" s="699">
        <v>440000</v>
      </c>
      <c r="GN94" s="45"/>
      <c r="GO94" s="23">
        <f t="shared" si="251"/>
        <v>0.10993409451034106</v>
      </c>
      <c r="GP94" s="60"/>
      <c r="GQ94" s="60"/>
      <c r="GR94" s="45"/>
      <c r="GS94" s="28">
        <f t="shared" si="300"/>
        <v>20000</v>
      </c>
      <c r="GT94" s="28">
        <f t="shared" si="301"/>
        <v>77911.318181818177</v>
      </c>
      <c r="GU94" s="682"/>
      <c r="GV94" s="682"/>
      <c r="GW94" s="680">
        <f t="shared" si="336"/>
        <v>77911.318181818177</v>
      </c>
      <c r="GX94" s="682"/>
      <c r="GY94" s="682">
        <f t="shared" si="302"/>
        <v>77911.318181818177</v>
      </c>
      <c r="GZ94" s="681">
        <f t="shared" si="324"/>
        <v>0.42825551082126267</v>
      </c>
      <c r="HA94" s="682"/>
      <c r="HB94" s="682"/>
      <c r="HC94" s="45"/>
      <c r="HD94" s="602">
        <v>48605</v>
      </c>
      <c r="HE94" s="608">
        <f t="shared" si="303"/>
        <v>1.2143969690170743E-2</v>
      </c>
      <c r="HF94" s="602">
        <f t="shared" si="304"/>
        <v>3953793</v>
      </c>
      <c r="HG94" s="602">
        <f ca="1">IF(EE94&lt;DATEDIF(TODAY(),$HG$1,"M"),HF94,(HF94/EE94*DATEDIF(TODAY(),$HG$1,"M")))*0</f>
        <v>0</v>
      </c>
      <c r="HH94" s="608">
        <f ca="1">(HD94+HG94)/FZ94</f>
        <v>1.2143969690170743E-2</v>
      </c>
      <c r="HI94" s="602"/>
      <c r="HJ94" s="602">
        <f t="shared" si="257"/>
        <v>440000</v>
      </c>
      <c r="HK94" s="602">
        <f t="shared" si="253"/>
        <v>0</v>
      </c>
      <c r="HL94" s="602"/>
      <c r="HM94" s="673"/>
      <c r="HN94" s="62"/>
      <c r="HO94" s="673"/>
      <c r="HP94" s="673">
        <f t="shared" si="236"/>
        <v>0</v>
      </c>
      <c r="HQ94" s="539"/>
      <c r="HR94" s="539"/>
      <c r="HS94" s="539"/>
      <c r="HT94" s="539"/>
      <c r="HU94" s="539"/>
      <c r="HV94" s="673"/>
      <c r="HW94" s="673">
        <f t="shared" si="326"/>
        <v>0</v>
      </c>
      <c r="HX94" s="539"/>
    </row>
    <row r="95" spans="1:232" ht="20.100000000000001" customHeight="1">
      <c r="A95" s="58" t="s">
        <v>896</v>
      </c>
      <c r="B95" s="31" t="s">
        <v>21</v>
      </c>
      <c r="C95" s="31" t="s">
        <v>90</v>
      </c>
      <c r="D95" s="31">
        <v>2019</v>
      </c>
      <c r="E95" s="31" t="s">
        <v>691</v>
      </c>
      <c r="F95" s="74"/>
      <c r="G95" s="74"/>
      <c r="H95" s="31"/>
      <c r="I95" s="31"/>
      <c r="J95" s="31"/>
      <c r="K95" s="180"/>
      <c r="L95" s="114"/>
      <c r="M95" s="115"/>
      <c r="N95" s="116"/>
      <c r="O95" s="142">
        <v>1048</v>
      </c>
      <c r="P95" s="142"/>
      <c r="Q95" s="142"/>
      <c r="R95" s="142">
        <f t="shared" si="305"/>
        <v>0</v>
      </c>
      <c r="S95" s="142">
        <f t="shared" si="306"/>
        <v>0</v>
      </c>
      <c r="T95" s="148">
        <f t="shared" si="307"/>
        <v>0</v>
      </c>
      <c r="U95" s="148">
        <f t="shared" si="308"/>
        <v>0</v>
      </c>
      <c r="V95" s="148">
        <f t="shared" si="309"/>
        <v>0</v>
      </c>
      <c r="W95" s="142">
        <f t="shared" si="310"/>
        <v>80.615384615384613</v>
      </c>
      <c r="X95" s="143"/>
      <c r="Y95" s="525">
        <f t="shared" si="290"/>
        <v>124.04580152671755</v>
      </c>
      <c r="Z95" s="143" t="s">
        <v>164</v>
      </c>
      <c r="AA95" s="143">
        <v>520</v>
      </c>
      <c r="AB95" s="144"/>
      <c r="AC95" s="32" t="s">
        <v>10</v>
      </c>
      <c r="AD95" s="493">
        <f t="shared" ref="AD95:AD126" si="338">SUM(AF95:AI95)</f>
        <v>13</v>
      </c>
      <c r="AE95" s="493">
        <f t="shared" si="291"/>
        <v>13</v>
      </c>
      <c r="AF95" s="42"/>
      <c r="AG95" s="31">
        <v>13</v>
      </c>
      <c r="AH95" s="42"/>
      <c r="AI95" s="42"/>
      <c r="AJ95" s="797">
        <v>612.77</v>
      </c>
      <c r="AK95" s="278">
        <v>815.16</v>
      </c>
      <c r="AL95" s="586">
        <f t="shared" ref="AL95:AL126" si="339">AJ95/AD95</f>
        <v>47.136153846153846</v>
      </c>
      <c r="AM95" s="8">
        <f t="shared" ref="AM95:AM126" si="340">AK95/AD95</f>
        <v>62.70461538461538</v>
      </c>
      <c r="AN95" s="35"/>
      <c r="AO95" s="35"/>
      <c r="AP95" s="35"/>
      <c r="AQ95" s="53"/>
      <c r="AR95" s="53">
        <f>13/AD95</f>
        <v>1</v>
      </c>
      <c r="AS95" s="53"/>
      <c r="AT95" s="53"/>
      <c r="AU95" s="53"/>
      <c r="AV95" s="35"/>
      <c r="AW95" s="51" t="s">
        <v>133</v>
      </c>
      <c r="AX95" s="51" t="s">
        <v>133</v>
      </c>
      <c r="AY95" s="35">
        <v>5</v>
      </c>
      <c r="AZ95" s="31" t="s">
        <v>398</v>
      </c>
      <c r="BA95" s="31" t="s">
        <v>98</v>
      </c>
      <c r="BB95" s="160">
        <v>1552984.0245998099</v>
      </c>
      <c r="BC95" s="504">
        <f>BB95/AJ95</f>
        <v>2534.3669314747949</v>
      </c>
      <c r="BD95" s="388">
        <f>BB95/AK95</f>
        <v>1905.1278578436256</v>
      </c>
      <c r="BE95" s="392">
        <f>BB95/AD95</f>
        <v>119460.30958460076</v>
      </c>
      <c r="BF95" s="165"/>
      <c r="BG95" s="165"/>
      <c r="BH95" s="73">
        <v>43522</v>
      </c>
      <c r="BI95" s="73">
        <v>43713</v>
      </c>
      <c r="BJ95" s="660">
        <v>43543</v>
      </c>
      <c r="BK95" s="660">
        <v>43788</v>
      </c>
      <c r="BL95" s="661"/>
      <c r="BM95" s="659">
        <f t="shared" ref="BM95:BM123" si="341">(DATEDIF(BJ95,BK95,"d"))/30</f>
        <v>8.1666666666666661</v>
      </c>
      <c r="BN95" s="578" t="s">
        <v>235</v>
      </c>
      <c r="BO95" s="110">
        <v>43803</v>
      </c>
      <c r="BP95" s="139">
        <v>43864</v>
      </c>
      <c r="BQ95" s="654">
        <f t="shared" si="325"/>
        <v>2.0333333333333332</v>
      </c>
      <c r="BR95" s="638">
        <v>106174</v>
      </c>
      <c r="BS95" s="110"/>
      <c r="BT95" s="110">
        <v>43868</v>
      </c>
      <c r="BU95" s="202"/>
      <c r="BV95" s="201">
        <f t="shared" si="292"/>
        <v>731</v>
      </c>
      <c r="BW95" s="439"/>
      <c r="BX95" s="201" t="str">
        <f t="shared" si="311"/>
        <v>oui</v>
      </c>
      <c r="BY95" s="557">
        <f t="shared" si="312"/>
        <v>-1466.7</v>
      </c>
      <c r="BZ95" s="439">
        <f t="shared" si="313"/>
        <v>0</v>
      </c>
      <c r="CA95" s="439">
        <f t="shared" si="314"/>
        <v>0</v>
      </c>
      <c r="CB95" s="341"/>
      <c r="CC95" s="341"/>
      <c r="CD95" s="341"/>
      <c r="CE95" s="343" t="str">
        <f t="shared" si="315"/>
        <v>0</v>
      </c>
      <c r="CF95" s="341"/>
      <c r="CG95" s="341"/>
      <c r="CH95" s="343" t="str">
        <f t="shared" si="316"/>
        <v>0</v>
      </c>
      <c r="CI95" s="341"/>
      <c r="CJ95" s="341"/>
      <c r="CK95" s="343" t="str">
        <f t="shared" si="317"/>
        <v>0</v>
      </c>
      <c r="CL95" s="341"/>
      <c r="CM95" s="341"/>
      <c r="CN95" s="343" t="str">
        <f t="shared" si="318"/>
        <v>0</v>
      </c>
      <c r="CO95" s="341"/>
      <c r="CP95" s="341"/>
      <c r="CQ95" s="343" t="str">
        <f t="shared" ref="CQ95:CQ126" si="342">IF(AND(CO95&gt;0,CP95&gt;0),CP95-CO95,"0")</f>
        <v>0</v>
      </c>
      <c r="CR95" s="290"/>
      <c r="CS95" s="342"/>
      <c r="CT95" s="330"/>
      <c r="CU95" s="331"/>
      <c r="CV95" s="332" t="str">
        <f t="shared" si="337"/>
        <v>0</v>
      </c>
      <c r="CW95" s="330"/>
      <c r="CX95" s="449">
        <v>44063</v>
      </c>
      <c r="CY95" s="233"/>
      <c r="CZ95" s="284">
        <f t="shared" si="327"/>
        <v>9.1666666666666661</v>
      </c>
      <c r="DA95" s="332" t="str">
        <f t="shared" si="293"/>
        <v>0</v>
      </c>
      <c r="DB95" s="450">
        <v>21</v>
      </c>
      <c r="DC95" s="169">
        <f t="shared" si="294"/>
        <v>22</v>
      </c>
      <c r="DD95" s="330"/>
      <c r="DE95" s="335">
        <f t="shared" ca="1" si="328"/>
        <v>43950</v>
      </c>
      <c r="DF95" s="332" t="str">
        <f t="shared" ca="1" si="319"/>
        <v>0</v>
      </c>
      <c r="DG95" s="330"/>
      <c r="DH95" s="348">
        <f t="shared" ca="1" si="329"/>
        <v>43950</v>
      </c>
      <c r="DI95" s="333" t="str">
        <f t="shared" ca="1" si="295"/>
        <v>0</v>
      </c>
      <c r="DJ95" s="334"/>
      <c r="DK95" s="348">
        <f t="shared" ca="1" si="330"/>
        <v>43950</v>
      </c>
      <c r="DL95" s="332"/>
      <c r="DM95" s="335"/>
      <c r="DN95" s="335">
        <f t="shared" ca="1" si="331"/>
        <v>43950</v>
      </c>
      <c r="DO95" s="332" t="str">
        <f t="shared" ca="1" si="296"/>
        <v>0</v>
      </c>
      <c r="DP95" s="336"/>
      <c r="DQ95" s="336"/>
      <c r="DR95" s="332" t="str">
        <f t="shared" si="297"/>
        <v>0</v>
      </c>
      <c r="DS95" s="335"/>
      <c r="DT95" s="335">
        <f t="shared" ca="1" si="332"/>
        <v>43950</v>
      </c>
      <c r="DU95" s="332" t="str">
        <f t="shared" ca="1" si="298"/>
        <v>0</v>
      </c>
      <c r="DV95" s="335"/>
      <c r="DW95" s="335">
        <f t="shared" ca="1" si="333"/>
        <v>43950</v>
      </c>
      <c r="DX95" s="332" t="str">
        <f t="shared" ca="1" si="299"/>
        <v>0</v>
      </c>
      <c r="DY95" s="335"/>
      <c r="DZ95" s="335"/>
      <c r="EA95" s="335"/>
      <c r="EB95" s="477">
        <f t="shared" si="258"/>
        <v>44701</v>
      </c>
      <c r="EC95" s="476">
        <f>DATE(YEAR(EB95),MONTH(EB95)+1,DAY(EB95))</f>
        <v>44732</v>
      </c>
      <c r="ED95" s="473">
        <f t="shared" ref="ED95:ED126" si="343">(EC95-EB95)/30</f>
        <v>1.0333333333333334</v>
      </c>
      <c r="EE95" s="605">
        <f t="shared" ca="1" si="334"/>
        <v>26.066666666666666</v>
      </c>
      <c r="EF95" s="476">
        <f t="shared" ca="1" si="335"/>
        <v>44680</v>
      </c>
      <c r="EG95" s="535"/>
      <c r="EH95" s="526"/>
      <c r="EI95" s="536"/>
      <c r="EJ95" s="295"/>
      <c r="EK95" s="534">
        <f t="shared" si="242"/>
        <v>44732</v>
      </c>
      <c r="EL95" s="476">
        <f>DATE(YEAR(EC95),MONTH(EC95),DAY(EC95))</f>
        <v>44732</v>
      </c>
      <c r="EM95" s="368"/>
      <c r="EN95" s="471">
        <f t="shared" si="320"/>
        <v>0</v>
      </c>
      <c r="EO95" s="461"/>
      <c r="EP95" s="173">
        <f t="shared" si="259"/>
        <v>0</v>
      </c>
      <c r="EQ95" s="77"/>
      <c r="ER95" s="353"/>
      <c r="ES95" s="353"/>
      <c r="ET95" s="353"/>
      <c r="EU95" s="353"/>
      <c r="EV95" s="353"/>
      <c r="EW95" s="483">
        <f t="shared" si="260"/>
        <v>0</v>
      </c>
      <c r="EX95" s="350"/>
      <c r="EY95" s="362"/>
      <c r="EZ95" s="350"/>
      <c r="FA95" s="33" t="s">
        <v>829</v>
      </c>
      <c r="FB95" s="126">
        <f t="shared" ca="1" si="321"/>
        <v>44680</v>
      </c>
      <c r="FC95" s="80"/>
      <c r="FD95" s="80"/>
      <c r="FE95" s="80"/>
      <c r="FF95" s="80"/>
      <c r="FG95" s="80"/>
      <c r="FH95" s="31"/>
      <c r="FI95" s="194">
        <f t="shared" si="289"/>
        <v>45097</v>
      </c>
      <c r="FJ95" s="194"/>
      <c r="FK95" s="31"/>
      <c r="FL95" s="31"/>
      <c r="FM95" s="31"/>
      <c r="FN95" s="31"/>
      <c r="FO95" s="31"/>
      <c r="FP95" s="31"/>
      <c r="FQ95" s="31"/>
      <c r="FR95" s="31"/>
      <c r="FS95" s="31"/>
      <c r="FT95" s="31"/>
      <c r="FU95" s="31"/>
      <c r="FV95" s="31"/>
      <c r="FW95" s="31"/>
      <c r="FX95" s="529"/>
      <c r="FY95" s="652">
        <f t="shared" ref="FY95:FY126" si="344">GE95+GH95+GM95+HC95+GL95+GR95+GP95+GQ95</f>
        <v>1639513</v>
      </c>
      <c r="FZ95" s="550">
        <f t="shared" si="264"/>
        <v>1639513</v>
      </c>
      <c r="GA95" s="699">
        <f t="shared" si="322"/>
        <v>1639513</v>
      </c>
      <c r="GB95" s="602">
        <f>GM95+GN95+GR95+GV95</f>
        <v>325000</v>
      </c>
      <c r="GC95" s="28">
        <f t="shared" ref="GC95:GC126" si="345">FZ95/AK95</f>
        <v>2011.2775406055255</v>
      </c>
      <c r="GD95" s="28">
        <f t="shared" si="261"/>
        <v>126116.38461538461</v>
      </c>
      <c r="GE95" s="775">
        <v>467856</v>
      </c>
      <c r="GF95" s="417">
        <v>467856.31809465517</v>
      </c>
      <c r="GG95" s="28">
        <f t="shared" si="323"/>
        <v>35988.923076923078</v>
      </c>
      <c r="GH95" s="775">
        <f>GI95+GJ95</f>
        <v>846657</v>
      </c>
      <c r="GI95" s="774">
        <v>140403</v>
      </c>
      <c r="GJ95" s="774">
        <v>706254</v>
      </c>
      <c r="GK95" s="407">
        <f t="shared" si="262"/>
        <v>65127.461538461539</v>
      </c>
      <c r="GL95" s="623"/>
      <c r="GM95" s="699">
        <v>325000</v>
      </c>
      <c r="GN95" s="45"/>
      <c r="GO95" s="23">
        <f t="shared" ref="GO95:GO126" si="346">GM95/FZ95</f>
        <v>0.19822959622766029</v>
      </c>
      <c r="GP95" s="60"/>
      <c r="GQ95" s="60"/>
      <c r="GR95" s="45"/>
      <c r="GS95" s="28">
        <f t="shared" si="300"/>
        <v>25000</v>
      </c>
      <c r="GT95" s="28">
        <f t="shared" si="301"/>
        <v>60988.923076923078</v>
      </c>
      <c r="GU95" s="682"/>
      <c r="GV95" s="682"/>
      <c r="GW95" s="680">
        <f t="shared" si="336"/>
        <v>60988.923076923078</v>
      </c>
      <c r="GX95" s="682"/>
      <c r="GY95" s="682">
        <f t="shared" si="302"/>
        <v>60988.923076923078</v>
      </c>
      <c r="GZ95" s="681">
        <f t="shared" si="324"/>
        <v>0.48359238383593178</v>
      </c>
      <c r="HA95" s="682"/>
      <c r="HB95" s="682"/>
      <c r="HC95" s="45"/>
      <c r="HD95" s="442"/>
      <c r="HE95" s="608">
        <f t="shared" si="303"/>
        <v>0</v>
      </c>
      <c r="HF95" s="602">
        <f t="shared" si="304"/>
        <v>1639513</v>
      </c>
      <c r="HG95" s="602">
        <f ca="1">IF(EE95&lt;DATEDIF(TODAY(),$HG$1,"M"),HF95,(HF95/EE95*DATEDIF(TODAY(),$HG$1,"M")))*0</f>
        <v>0</v>
      </c>
      <c r="HH95" s="608">
        <f ca="1">(HD95+HG95)/FZ95</f>
        <v>0</v>
      </c>
      <c r="HI95" s="602"/>
      <c r="HJ95" s="602">
        <f t="shared" si="257"/>
        <v>325000</v>
      </c>
      <c r="HK95" s="602">
        <f t="shared" si="253"/>
        <v>0</v>
      </c>
      <c r="HL95" s="602"/>
      <c r="HM95" s="673"/>
      <c r="HN95" s="62"/>
      <c r="HO95" s="673"/>
      <c r="HP95" s="673">
        <f t="shared" si="236"/>
        <v>0</v>
      </c>
      <c r="HQ95" s="539"/>
      <c r="HR95" s="539"/>
      <c r="HS95" s="539"/>
      <c r="HT95" s="539"/>
      <c r="HU95" s="539"/>
      <c r="HV95" s="673"/>
      <c r="HW95" s="673">
        <f t="shared" si="326"/>
        <v>0</v>
      </c>
      <c r="HX95" s="539"/>
    </row>
    <row r="96" spans="1:232" ht="20.100000000000001" customHeight="1">
      <c r="A96" s="58" t="s">
        <v>907</v>
      </c>
      <c r="B96" s="31" t="s">
        <v>21</v>
      </c>
      <c r="C96" s="31" t="s">
        <v>90</v>
      </c>
      <c r="D96" s="31">
        <v>2019</v>
      </c>
      <c r="E96" s="31" t="s">
        <v>690</v>
      </c>
      <c r="F96" s="31" t="s">
        <v>16</v>
      </c>
      <c r="G96" s="31" t="s">
        <v>605</v>
      </c>
      <c r="H96" s="31" t="s">
        <v>184</v>
      </c>
      <c r="I96" s="31"/>
      <c r="J96" s="31" t="s">
        <v>640</v>
      </c>
      <c r="K96" s="180"/>
      <c r="L96" s="114"/>
      <c r="M96" s="115"/>
      <c r="N96" s="116"/>
      <c r="O96" s="142">
        <v>1278</v>
      </c>
      <c r="P96" s="142"/>
      <c r="Q96" s="142"/>
      <c r="R96" s="142">
        <f t="shared" si="305"/>
        <v>0</v>
      </c>
      <c r="S96" s="142">
        <f t="shared" si="306"/>
        <v>0</v>
      </c>
      <c r="T96" s="148">
        <f t="shared" si="307"/>
        <v>0</v>
      </c>
      <c r="U96" s="148">
        <f t="shared" si="308"/>
        <v>0</v>
      </c>
      <c r="V96" s="148">
        <f t="shared" si="309"/>
        <v>0</v>
      </c>
      <c r="W96" s="142">
        <f t="shared" si="310"/>
        <v>31.170731707317074</v>
      </c>
      <c r="X96" s="143"/>
      <c r="Y96" s="525">
        <f t="shared" si="290"/>
        <v>320.81377151799688</v>
      </c>
      <c r="Z96" s="143" t="s">
        <v>164</v>
      </c>
      <c r="AA96" s="143"/>
      <c r="AB96" s="144"/>
      <c r="AC96" s="32" t="s">
        <v>10</v>
      </c>
      <c r="AD96" s="493">
        <f t="shared" si="338"/>
        <v>41</v>
      </c>
      <c r="AE96" s="493">
        <f t="shared" si="291"/>
        <v>41</v>
      </c>
      <c r="AF96" s="42"/>
      <c r="AG96" s="31">
        <v>41</v>
      </c>
      <c r="AH96" s="42"/>
      <c r="AI96" s="42"/>
      <c r="AJ96" s="797">
        <v>2615.13</v>
      </c>
      <c r="AK96" s="276">
        <v>3127.87</v>
      </c>
      <c r="AL96" s="586">
        <f t="shared" si="339"/>
        <v>63.783658536585371</v>
      </c>
      <c r="AM96" s="35">
        <f t="shared" si="340"/>
        <v>76.289512195121944</v>
      </c>
      <c r="AN96" s="35"/>
      <c r="AO96" s="35"/>
      <c r="AP96" s="35"/>
      <c r="AQ96" s="53"/>
      <c r="AR96" s="53">
        <f>16/AD96</f>
        <v>0.3902439024390244</v>
      </c>
      <c r="AS96" s="53">
        <f>19/AD96</f>
        <v>0.46341463414634149</v>
      </c>
      <c r="AT96" s="53">
        <f>6/AD96</f>
        <v>0.14634146341463414</v>
      </c>
      <c r="AU96" s="53"/>
      <c r="AV96" s="35"/>
      <c r="AW96" s="51" t="s">
        <v>133</v>
      </c>
      <c r="AX96" s="51" t="s">
        <v>133</v>
      </c>
      <c r="AY96" s="35"/>
      <c r="AZ96" s="31" t="s">
        <v>398</v>
      </c>
      <c r="BA96" s="31" t="s">
        <v>98</v>
      </c>
      <c r="BB96" s="160">
        <v>6200000</v>
      </c>
      <c r="BC96" s="504">
        <f>BB96/AJ96</f>
        <v>2370.8190415008048</v>
      </c>
      <c r="BD96" s="388">
        <f>BB96/AK96</f>
        <v>1982.1795662863226</v>
      </c>
      <c r="BE96" s="392">
        <f>BB96/AD96</f>
        <v>151219.51219512196</v>
      </c>
      <c r="BF96" s="126"/>
      <c r="BG96" s="126"/>
      <c r="BH96" s="73">
        <v>43522</v>
      </c>
      <c r="BI96" s="31"/>
      <c r="BJ96" s="660">
        <v>43553</v>
      </c>
      <c r="BK96" s="660">
        <v>43713</v>
      </c>
      <c r="BL96" s="661">
        <v>43724</v>
      </c>
      <c r="BM96" s="659">
        <f t="shared" si="341"/>
        <v>5.333333333333333</v>
      </c>
      <c r="BN96" s="578" t="s">
        <v>235</v>
      </c>
      <c r="BO96" s="110">
        <v>43741</v>
      </c>
      <c r="BP96" s="139">
        <v>43784</v>
      </c>
      <c r="BQ96" s="654">
        <f t="shared" si="325"/>
        <v>1.4333333333333333</v>
      </c>
      <c r="BR96" s="638">
        <v>103386</v>
      </c>
      <c r="BS96" s="110"/>
      <c r="BT96" s="110">
        <v>43794</v>
      </c>
      <c r="BU96" s="202"/>
      <c r="BV96" s="201">
        <f t="shared" si="292"/>
        <v>731</v>
      </c>
      <c r="BW96" s="439"/>
      <c r="BX96" s="201" t="str">
        <f t="shared" si="311"/>
        <v>oui</v>
      </c>
      <c r="BY96" s="557">
        <f t="shared" si="312"/>
        <v>-1466.7</v>
      </c>
      <c r="BZ96" s="439">
        <f t="shared" si="313"/>
        <v>0</v>
      </c>
      <c r="CA96" s="439">
        <f t="shared" si="314"/>
        <v>0</v>
      </c>
      <c r="CB96" s="81"/>
      <c r="CC96" s="81"/>
      <c r="CD96" s="81"/>
      <c r="CE96" s="326" t="str">
        <f t="shared" si="315"/>
        <v>0</v>
      </c>
      <c r="CF96" s="81">
        <v>43504</v>
      </c>
      <c r="CG96" s="81">
        <v>43504</v>
      </c>
      <c r="CH96" s="326">
        <f t="shared" si="316"/>
        <v>0</v>
      </c>
      <c r="CI96" s="81"/>
      <c r="CJ96" s="81"/>
      <c r="CK96" s="326" t="str">
        <f t="shared" si="317"/>
        <v>0</v>
      </c>
      <c r="CL96" s="81"/>
      <c r="CM96" s="81"/>
      <c r="CN96" s="326" t="str">
        <f t="shared" si="318"/>
        <v>0</v>
      </c>
      <c r="CO96" s="81"/>
      <c r="CP96" s="81"/>
      <c r="CQ96" s="326" t="str">
        <f t="shared" si="342"/>
        <v>0</v>
      </c>
      <c r="CR96" s="666"/>
      <c r="CS96" s="159"/>
      <c r="CT96" s="330"/>
      <c r="CU96" s="331"/>
      <c r="CV96" s="332" t="str">
        <f t="shared" si="337"/>
        <v>0</v>
      </c>
      <c r="CW96" s="498"/>
      <c r="CX96" s="449">
        <v>44032</v>
      </c>
      <c r="CY96" s="233"/>
      <c r="CZ96" s="284">
        <f t="shared" si="327"/>
        <v>10.633333333333333</v>
      </c>
      <c r="DA96" s="332" t="str">
        <f t="shared" si="293"/>
        <v>0</v>
      </c>
      <c r="DB96" s="450">
        <v>21</v>
      </c>
      <c r="DC96" s="169">
        <f t="shared" si="294"/>
        <v>22</v>
      </c>
      <c r="DD96" s="330"/>
      <c r="DE96" s="335">
        <f t="shared" ca="1" si="328"/>
        <v>43950</v>
      </c>
      <c r="DF96" s="332" t="str">
        <f t="shared" ca="1" si="319"/>
        <v>0</v>
      </c>
      <c r="DG96" s="330"/>
      <c r="DH96" s="348">
        <f t="shared" ca="1" si="329"/>
        <v>43950</v>
      </c>
      <c r="DI96" s="333" t="str">
        <f t="shared" ca="1" si="295"/>
        <v>0</v>
      </c>
      <c r="DJ96" s="334"/>
      <c r="DK96" s="348">
        <f t="shared" ca="1" si="330"/>
        <v>43950</v>
      </c>
      <c r="DL96" s="332" t="str">
        <f t="shared" ref="DL96:DL127" ca="1" si="347">IF(AND(DJ96&gt;0,DK96&gt;0),DK96-DJ96,"0")</f>
        <v>0</v>
      </c>
      <c r="DM96" s="335"/>
      <c r="DN96" s="335">
        <f t="shared" ca="1" si="331"/>
        <v>43950</v>
      </c>
      <c r="DO96" s="332" t="str">
        <f t="shared" ca="1" si="296"/>
        <v>0</v>
      </c>
      <c r="DP96" s="336"/>
      <c r="DQ96" s="336"/>
      <c r="DR96" s="332" t="str">
        <f t="shared" si="297"/>
        <v>0</v>
      </c>
      <c r="DS96" s="335"/>
      <c r="DT96" s="335">
        <f t="shared" ca="1" si="332"/>
        <v>43950</v>
      </c>
      <c r="DU96" s="332" t="str">
        <f t="shared" ca="1" si="298"/>
        <v>0</v>
      </c>
      <c r="DV96" s="335"/>
      <c r="DW96" s="335">
        <f t="shared" ca="1" si="333"/>
        <v>43950</v>
      </c>
      <c r="DX96" s="332" t="str">
        <f t="shared" ca="1" si="299"/>
        <v>0</v>
      </c>
      <c r="DY96" s="335"/>
      <c r="DZ96" s="335"/>
      <c r="EA96" s="335"/>
      <c r="EB96" s="477">
        <f t="shared" si="258"/>
        <v>44671</v>
      </c>
      <c r="EC96" s="476">
        <f>DATE(YEAR(EB96),MONTH(EB96)+1,DAY(EB96))</f>
        <v>44701</v>
      </c>
      <c r="ED96" s="473">
        <f t="shared" si="343"/>
        <v>1</v>
      </c>
      <c r="EE96" s="605">
        <f t="shared" ca="1" si="334"/>
        <v>25.033333333333335</v>
      </c>
      <c r="EF96" s="476">
        <f t="shared" ca="1" si="335"/>
        <v>44680</v>
      </c>
      <c r="EG96" s="535"/>
      <c r="EH96" s="526"/>
      <c r="EI96" s="536"/>
      <c r="EJ96" s="295"/>
      <c r="EK96" s="534">
        <f t="shared" si="242"/>
        <v>44701</v>
      </c>
      <c r="EL96" s="476">
        <f>DATE(YEAR(EC96),MONTH(EC96)+1,DAY(EC96))</f>
        <v>44732</v>
      </c>
      <c r="EM96" s="368"/>
      <c r="EN96" s="471">
        <f t="shared" si="320"/>
        <v>1.0333333333333334</v>
      </c>
      <c r="EO96" s="461"/>
      <c r="EP96" s="173">
        <f t="shared" si="259"/>
        <v>0</v>
      </c>
      <c r="EQ96" s="77"/>
      <c r="ER96" s="353"/>
      <c r="ES96" s="353"/>
      <c r="ET96" s="353"/>
      <c r="EU96" s="353"/>
      <c r="EV96" s="353"/>
      <c r="EW96" s="483">
        <f t="shared" si="260"/>
        <v>0</v>
      </c>
      <c r="EX96" s="350"/>
      <c r="EY96" s="362"/>
      <c r="EZ96" s="350"/>
      <c r="FA96" s="33" t="s">
        <v>831</v>
      </c>
      <c r="FB96" s="126">
        <f t="shared" ca="1" si="321"/>
        <v>44680</v>
      </c>
      <c r="FC96" s="80"/>
      <c r="FD96" s="80"/>
      <c r="FE96" s="80"/>
      <c r="FF96" s="80"/>
      <c r="FG96" s="80"/>
      <c r="FH96" s="31"/>
      <c r="FI96" s="194">
        <f t="shared" si="289"/>
        <v>45066</v>
      </c>
      <c r="FJ96" s="194"/>
      <c r="FK96" s="31"/>
      <c r="FL96" s="31"/>
      <c r="FM96" s="31"/>
      <c r="FN96" s="31"/>
      <c r="FO96" s="31"/>
      <c r="FP96" s="31"/>
      <c r="FQ96" s="31"/>
      <c r="FR96" s="31"/>
      <c r="FS96" s="31"/>
      <c r="FT96" s="31"/>
      <c r="FU96" s="31"/>
      <c r="FV96" s="31"/>
      <c r="FW96" s="31"/>
      <c r="FX96" s="529"/>
      <c r="FY96" s="652">
        <f t="shared" si="344"/>
        <v>6488469.7325947993</v>
      </c>
      <c r="FZ96" s="550">
        <f t="shared" si="264"/>
        <v>6488469.7325947993</v>
      </c>
      <c r="GA96" s="45">
        <f t="shared" si="322"/>
        <v>6488469.7325947993</v>
      </c>
      <c r="GB96" s="602">
        <f>GM96+GN96+GR96+GV96</f>
        <v>1230000</v>
      </c>
      <c r="GC96" s="28">
        <f t="shared" si="345"/>
        <v>2074.4051807123697</v>
      </c>
      <c r="GD96" s="28">
        <f t="shared" si="261"/>
        <v>158255.35933158046</v>
      </c>
      <c r="GE96" s="49">
        <v>1818290.8517983221</v>
      </c>
      <c r="GF96" s="417">
        <v>1818291</v>
      </c>
      <c r="GG96" s="28">
        <f t="shared" si="323"/>
        <v>44348.557360934683</v>
      </c>
      <c r="GH96" s="49">
        <f>GJ96+GI96</f>
        <v>3440178.8807964772</v>
      </c>
      <c r="GI96" s="198">
        <v>687027.33458103053</v>
      </c>
      <c r="GJ96" s="198">
        <v>2753151.5462154467</v>
      </c>
      <c r="GK96" s="407">
        <f t="shared" si="262"/>
        <v>83906.801970645785</v>
      </c>
      <c r="GL96" s="623"/>
      <c r="GM96" s="45">
        <v>1230000</v>
      </c>
      <c r="GN96" s="45"/>
      <c r="GO96" s="23">
        <f t="shared" si="346"/>
        <v>0.18956703979385162</v>
      </c>
      <c r="GP96" s="60"/>
      <c r="GQ96" s="60"/>
      <c r="GR96" s="45"/>
      <c r="GS96" s="28">
        <f t="shared" si="300"/>
        <v>30000</v>
      </c>
      <c r="GT96" s="28">
        <f t="shared" si="301"/>
        <v>74348.55736093469</v>
      </c>
      <c r="GU96" s="682"/>
      <c r="GV96" s="682"/>
      <c r="GW96" s="682">
        <f t="shared" si="336"/>
        <v>74348.55736093469</v>
      </c>
      <c r="GX96" s="682"/>
      <c r="GY96" s="682">
        <f t="shared" si="302"/>
        <v>74348.55736093469</v>
      </c>
      <c r="GZ96" s="681">
        <f t="shared" si="324"/>
        <v>0.46980119772852547</v>
      </c>
      <c r="HA96" s="682"/>
      <c r="HB96" s="682"/>
      <c r="HC96" s="45"/>
      <c r="HD96" s="602">
        <v>56255</v>
      </c>
      <c r="HE96" s="608">
        <f t="shared" si="303"/>
        <v>8.6699949785391233E-3</v>
      </c>
      <c r="HF96" s="602">
        <f t="shared" si="304"/>
        <v>6432214.7325947993</v>
      </c>
      <c r="HG96" s="602">
        <f ca="1">IF(EE96&lt;DATEDIF(TODAY(),$HG$1,"M"),HF96,(HF96/EE96*DATEDIF(TODAY(),$HG$1,"M")))*0</f>
        <v>0</v>
      </c>
      <c r="HH96" s="608">
        <f ca="1">(HD96+HG96)/FZ96</f>
        <v>8.6699949785391233E-3</v>
      </c>
      <c r="HI96" s="602"/>
      <c r="HJ96" s="602">
        <f t="shared" si="257"/>
        <v>1230000</v>
      </c>
      <c r="HK96" s="602">
        <f t="shared" si="253"/>
        <v>0</v>
      </c>
      <c r="HL96" s="602"/>
      <c r="HM96" s="673"/>
      <c r="HN96" s="62"/>
      <c r="HO96" s="673"/>
      <c r="HP96" s="673">
        <f t="shared" si="236"/>
        <v>0</v>
      </c>
      <c r="HQ96" s="539"/>
      <c r="HR96" s="539"/>
      <c r="HS96" s="539"/>
      <c r="HT96" s="539"/>
      <c r="HU96" s="539"/>
      <c r="HV96" s="673"/>
      <c r="HW96" s="673">
        <f t="shared" si="326"/>
        <v>0</v>
      </c>
      <c r="HX96" s="539"/>
    </row>
    <row r="97" spans="1:232" ht="30" customHeight="1">
      <c r="A97" s="495" t="s">
        <v>904</v>
      </c>
      <c r="B97" s="31" t="s">
        <v>21</v>
      </c>
      <c r="C97" s="31" t="s">
        <v>90</v>
      </c>
      <c r="D97" s="31">
        <v>2020</v>
      </c>
      <c r="E97" s="31"/>
      <c r="F97" s="31" t="s">
        <v>903</v>
      </c>
      <c r="G97" s="31" t="s">
        <v>143</v>
      </c>
      <c r="H97" s="33" t="s">
        <v>890</v>
      </c>
      <c r="I97" s="31"/>
      <c r="J97" s="31" t="s">
        <v>844</v>
      </c>
      <c r="K97" s="180" t="s">
        <v>696</v>
      </c>
      <c r="L97" s="114"/>
      <c r="M97" s="115"/>
      <c r="N97" s="116"/>
      <c r="O97" s="142">
        <v>912</v>
      </c>
      <c r="P97" s="142"/>
      <c r="Q97" s="142"/>
      <c r="R97" s="142">
        <f t="shared" si="305"/>
        <v>0</v>
      </c>
      <c r="S97" s="142">
        <f t="shared" si="306"/>
        <v>0</v>
      </c>
      <c r="T97" s="148">
        <f t="shared" si="307"/>
        <v>0</v>
      </c>
      <c r="U97" s="148">
        <f t="shared" si="308"/>
        <v>0</v>
      </c>
      <c r="V97" s="148">
        <f t="shared" si="309"/>
        <v>0</v>
      </c>
      <c r="W97" s="142">
        <f t="shared" si="310"/>
        <v>30.4</v>
      </c>
      <c r="X97" s="143"/>
      <c r="Y97" s="525">
        <f t="shared" si="290"/>
        <v>328.94736842105266</v>
      </c>
      <c r="Z97" s="143" t="s">
        <v>164</v>
      </c>
      <c r="AA97" s="143">
        <v>520</v>
      </c>
      <c r="AB97" s="144">
        <v>0.1</v>
      </c>
      <c r="AC97" s="31" t="s">
        <v>9</v>
      </c>
      <c r="AD97" s="493">
        <f t="shared" si="338"/>
        <v>30</v>
      </c>
      <c r="AE97" s="493">
        <f t="shared" si="291"/>
        <v>30</v>
      </c>
      <c r="AF97" s="31">
        <v>30</v>
      </c>
      <c r="AG97" s="42"/>
      <c r="AH97" s="42"/>
      <c r="AI97" s="42"/>
      <c r="AJ97" s="797">
        <v>2082.89</v>
      </c>
      <c r="AK97" s="276">
        <v>2457.39</v>
      </c>
      <c r="AL97" s="586">
        <f t="shared" si="339"/>
        <v>69.429666666666662</v>
      </c>
      <c r="AM97" s="35">
        <f t="shared" si="340"/>
        <v>81.912999999999997</v>
      </c>
      <c r="AN97" s="35">
        <v>6.77</v>
      </c>
      <c r="AO97" s="35">
        <v>6.18</v>
      </c>
      <c r="AP97" s="35"/>
      <c r="AQ97" s="53"/>
      <c r="AR97" s="53"/>
      <c r="AS97" s="53"/>
      <c r="AT97" s="53"/>
      <c r="AU97" s="53"/>
      <c r="AV97" s="35"/>
      <c r="AW97" s="51" t="s">
        <v>133</v>
      </c>
      <c r="AX97" s="51" t="s">
        <v>133</v>
      </c>
      <c r="AY97" s="35">
        <v>5.5</v>
      </c>
      <c r="AZ97" s="31" t="s">
        <v>398</v>
      </c>
      <c r="BA97" s="31" t="s">
        <v>98</v>
      </c>
      <c r="BB97" s="160">
        <v>5000788.6536800005</v>
      </c>
      <c r="BC97" s="504">
        <f>BB97/AJ97</f>
        <v>2400.8894630441359</v>
      </c>
      <c r="BD97" s="388">
        <f>BB97/AK97</f>
        <v>2035.0000014975242</v>
      </c>
      <c r="BE97" s="392">
        <f>BB97/AD97</f>
        <v>166692.9551226667</v>
      </c>
      <c r="BF97" s="381"/>
      <c r="BG97" s="381"/>
      <c r="BH97" s="73">
        <v>43816</v>
      </c>
      <c r="BI97" s="126"/>
      <c r="BJ97" s="660"/>
      <c r="BK97" s="660"/>
      <c r="BL97" s="661"/>
      <c r="BM97" s="659">
        <f t="shared" si="341"/>
        <v>0</v>
      </c>
      <c r="BN97" s="578" t="s">
        <v>235</v>
      </c>
      <c r="BO97" s="110"/>
      <c r="BP97" s="139"/>
      <c r="BQ97" s="654">
        <f t="shared" si="325"/>
        <v>0</v>
      </c>
      <c r="BR97" s="638"/>
      <c r="BS97" s="110"/>
      <c r="BT97" s="110"/>
      <c r="BU97" s="202"/>
      <c r="BV97" s="201">
        <f t="shared" si="292"/>
        <v>731</v>
      </c>
      <c r="BW97" s="439"/>
      <c r="BX97" s="201" t="str">
        <f t="shared" si="311"/>
        <v>oui</v>
      </c>
      <c r="BY97" s="557">
        <f t="shared" si="312"/>
        <v>-1470.1333333333334</v>
      </c>
      <c r="BZ97" s="439">
        <f t="shared" si="313"/>
        <v>0</v>
      </c>
      <c r="CA97" s="439">
        <f t="shared" si="314"/>
        <v>0</v>
      </c>
      <c r="CB97" s="341"/>
      <c r="CC97" s="341">
        <v>43696</v>
      </c>
      <c r="CD97" s="341">
        <v>43706</v>
      </c>
      <c r="CE97" s="343">
        <f t="shared" si="315"/>
        <v>10</v>
      </c>
      <c r="CF97" s="341"/>
      <c r="CG97" s="341"/>
      <c r="CH97" s="343" t="str">
        <f t="shared" si="316"/>
        <v>0</v>
      </c>
      <c r="CI97" s="341"/>
      <c r="CJ97" s="341">
        <f ca="1">IF(CI97&lt;TODAY(),TODAY(),CI97)</f>
        <v>43950</v>
      </c>
      <c r="CK97" s="343" t="str">
        <f t="shared" ca="1" si="317"/>
        <v>0</v>
      </c>
      <c r="CL97" s="344"/>
      <c r="CM97" s="341">
        <f ca="1">IF(CL97&lt;TODAY(),TODAY(),CL97)</f>
        <v>43950</v>
      </c>
      <c r="CN97" s="343" t="str">
        <f t="shared" ca="1" si="318"/>
        <v>0</v>
      </c>
      <c r="CO97" s="341"/>
      <c r="CP97" s="341">
        <f ca="1">IF(CO97&lt;TODAY(),TODAY(),CO97)</f>
        <v>43950</v>
      </c>
      <c r="CQ97" s="343" t="str">
        <f t="shared" ca="1" si="342"/>
        <v>0</v>
      </c>
      <c r="CR97" s="290"/>
      <c r="CS97" s="339"/>
      <c r="CT97" s="330"/>
      <c r="CU97" s="331"/>
      <c r="CV97" s="332" t="str">
        <f t="shared" si="337"/>
        <v>0</v>
      </c>
      <c r="CW97" s="498">
        <v>44228</v>
      </c>
      <c r="CX97" s="449">
        <v>44228</v>
      </c>
      <c r="CY97" s="233"/>
      <c r="CZ97" s="284">
        <f t="shared" si="327"/>
        <v>1474.2666666666667</v>
      </c>
      <c r="DA97" s="332">
        <f t="shared" si="293"/>
        <v>0</v>
      </c>
      <c r="DB97" s="450">
        <v>16</v>
      </c>
      <c r="DC97" s="169">
        <f t="shared" si="294"/>
        <v>19</v>
      </c>
      <c r="DD97" s="330"/>
      <c r="DE97" s="335">
        <f t="shared" ca="1" si="328"/>
        <v>43950</v>
      </c>
      <c r="DF97" s="332" t="str">
        <f t="shared" ca="1" si="319"/>
        <v>0</v>
      </c>
      <c r="DG97" s="330"/>
      <c r="DH97" s="348">
        <f t="shared" ca="1" si="329"/>
        <v>43950</v>
      </c>
      <c r="DI97" s="333" t="str">
        <f t="shared" ca="1" si="295"/>
        <v>0</v>
      </c>
      <c r="DJ97" s="334"/>
      <c r="DK97" s="348">
        <f t="shared" ca="1" si="330"/>
        <v>43950</v>
      </c>
      <c r="DL97" s="332" t="str">
        <f t="shared" ca="1" si="347"/>
        <v>0</v>
      </c>
      <c r="DM97" s="335"/>
      <c r="DN97" s="335">
        <f t="shared" ca="1" si="331"/>
        <v>43950</v>
      </c>
      <c r="DO97" s="332" t="str">
        <f t="shared" ca="1" si="296"/>
        <v>0</v>
      </c>
      <c r="DP97" s="336"/>
      <c r="DQ97" s="336"/>
      <c r="DR97" s="332" t="str">
        <f t="shared" si="297"/>
        <v>0</v>
      </c>
      <c r="DS97" s="335"/>
      <c r="DT97" s="335">
        <f t="shared" ca="1" si="332"/>
        <v>43950</v>
      </c>
      <c r="DU97" s="332" t="str">
        <f t="shared" ca="1" si="298"/>
        <v>0</v>
      </c>
      <c r="DV97" s="335"/>
      <c r="DW97" s="335">
        <f t="shared" ca="1" si="333"/>
        <v>43950</v>
      </c>
      <c r="DX97" s="332" t="str">
        <f t="shared" ca="1" si="299"/>
        <v>0</v>
      </c>
      <c r="DY97" s="335"/>
      <c r="DZ97" s="335"/>
      <c r="EA97" s="335"/>
      <c r="EB97" s="477">
        <f t="shared" si="258"/>
        <v>44713</v>
      </c>
      <c r="EC97" s="476">
        <f>DATE(YEAR(EB97),MONTH(EB97)+3,DAY(EB97))</f>
        <v>44805</v>
      </c>
      <c r="ED97" s="473">
        <f t="shared" si="343"/>
        <v>3.0666666666666669</v>
      </c>
      <c r="EE97" s="605">
        <f t="shared" ca="1" si="334"/>
        <v>28.5</v>
      </c>
      <c r="EF97" s="476">
        <f t="shared" ca="1" si="335"/>
        <v>44680</v>
      </c>
      <c r="EG97" s="535"/>
      <c r="EH97" s="526"/>
      <c r="EI97" s="536">
        <f>DATE(YEAR(EC97),MONTH(EC97)+4,DAY(EC97)+2)</f>
        <v>44929</v>
      </c>
      <c r="EJ97" s="295"/>
      <c r="EK97" s="534">
        <f>DATE(YEAR(EB97),MONTH(EB97)+2,DAY(EB97))</f>
        <v>44774</v>
      </c>
      <c r="EL97" s="476">
        <f>DATE(YEAR(EC97),MONTH(EC97)+1,DAY(EC97))</f>
        <v>44835</v>
      </c>
      <c r="EM97" s="368"/>
      <c r="EN97" s="471">
        <f>(EL97-EK97)/30</f>
        <v>2.0333333333333332</v>
      </c>
      <c r="EO97" s="461"/>
      <c r="EP97" s="173">
        <f t="shared" si="259"/>
        <v>0</v>
      </c>
      <c r="EQ97" s="77"/>
      <c r="ER97" s="353"/>
      <c r="ES97" s="353"/>
      <c r="ET97" s="353"/>
      <c r="EU97" s="353"/>
      <c r="EV97" s="353"/>
      <c r="EW97" s="483">
        <f t="shared" si="260"/>
        <v>0</v>
      </c>
      <c r="EX97" s="350"/>
      <c r="EY97" s="362"/>
      <c r="EZ97" s="350"/>
      <c r="FA97" s="362"/>
      <c r="FB97" s="126">
        <f t="shared" ca="1" si="321"/>
        <v>44680</v>
      </c>
      <c r="FC97" s="80"/>
      <c r="FD97" s="80"/>
      <c r="FE97" s="80"/>
      <c r="FF97" s="80"/>
      <c r="FG97" s="80"/>
      <c r="FH97" s="31"/>
      <c r="FI97" s="194">
        <f t="shared" si="289"/>
        <v>45170</v>
      </c>
      <c r="FJ97" s="194"/>
      <c r="FK97" s="31"/>
      <c r="FL97" s="31"/>
      <c r="FM97" s="31"/>
      <c r="FN97" s="31"/>
      <c r="FO97" s="31"/>
      <c r="FP97" s="31"/>
      <c r="FQ97" s="31"/>
      <c r="FR97" s="31"/>
      <c r="FS97" s="31"/>
      <c r="FT97" s="31"/>
      <c r="FU97" s="31"/>
      <c r="FV97" s="31"/>
      <c r="FW97" s="31"/>
      <c r="FX97" s="529"/>
      <c r="FY97" s="652">
        <f t="shared" si="344"/>
        <v>5222896.6400000006</v>
      </c>
      <c r="FZ97" s="550">
        <f t="shared" si="264"/>
        <v>5222896.6400000006</v>
      </c>
      <c r="GA97" s="45">
        <f t="shared" si="322"/>
        <v>5222896.6400000006</v>
      </c>
      <c r="GB97" s="602">
        <f>GM97+GN97+GR97+GV97</f>
        <v>750000</v>
      </c>
      <c r="GC97" s="28">
        <f t="shared" si="345"/>
        <v>2125.383695709676</v>
      </c>
      <c r="GD97" s="28">
        <f t="shared" si="261"/>
        <v>174096.55466666669</v>
      </c>
      <c r="GE97" s="45">
        <v>1529942</v>
      </c>
      <c r="GF97" s="417"/>
      <c r="GG97" s="28">
        <f t="shared" si="323"/>
        <v>50998.066666666666</v>
      </c>
      <c r="GH97" s="45">
        <f>GI97+GJ97</f>
        <v>2942954.64</v>
      </c>
      <c r="GI97" s="59">
        <v>412796.04</v>
      </c>
      <c r="GJ97" s="59">
        <v>2530158.6</v>
      </c>
      <c r="GK97" s="407">
        <f t="shared" si="262"/>
        <v>98098.487999999998</v>
      </c>
      <c r="GL97" s="45"/>
      <c r="GM97" s="45">
        <v>750000</v>
      </c>
      <c r="GN97" s="45"/>
      <c r="GO97" s="23">
        <f t="shared" si="346"/>
        <v>0.14359847641939932</v>
      </c>
      <c r="GP97" s="45"/>
      <c r="GQ97" s="45"/>
      <c r="GR97" s="45"/>
      <c r="GS97" s="28">
        <f t="shared" si="300"/>
        <v>25000</v>
      </c>
      <c r="GT97" s="28">
        <f t="shared" si="301"/>
        <v>75998.066666666666</v>
      </c>
      <c r="GU97" s="682"/>
      <c r="GV97" s="682"/>
      <c r="GW97" s="680">
        <f t="shared" si="336"/>
        <v>75998.066666666666</v>
      </c>
      <c r="GX97" s="682"/>
      <c r="GY97" s="682">
        <f t="shared" si="302"/>
        <v>75998.066666666666</v>
      </c>
      <c r="GZ97" s="681">
        <f t="shared" si="324"/>
        <v>0.43652826336613082</v>
      </c>
      <c r="HA97" s="682"/>
      <c r="HB97" s="682"/>
      <c r="HC97" s="45"/>
      <c r="HD97" s="602"/>
      <c r="HE97" s="608">
        <f t="shared" si="303"/>
        <v>0</v>
      </c>
      <c r="HF97" s="602">
        <f t="shared" si="304"/>
        <v>5222896.6400000006</v>
      </c>
      <c r="HG97" s="602">
        <f ca="1">IF(EE97&lt;DATEDIF(TODAY(),$HG$1,"M"),HF97,(HF97/EE97*DATEDIF(TODAY(),$HG$1,"M")))*0+100000</f>
        <v>100000</v>
      </c>
      <c r="HH97" s="608">
        <f ca="1">(HD97+HG97)/FZ97</f>
        <v>1.9146463522586574E-2</v>
      </c>
      <c r="HI97" s="602"/>
      <c r="HJ97" s="602">
        <f t="shared" si="257"/>
        <v>750000</v>
      </c>
      <c r="HK97" s="602">
        <f t="shared" ref="HK97:HK123" si="348">HI97/GB97</f>
        <v>0</v>
      </c>
      <c r="HL97" s="602"/>
      <c r="HM97" s="673"/>
      <c r="HN97" s="62"/>
      <c r="HO97" s="673"/>
      <c r="HP97" s="673"/>
      <c r="HQ97" s="539"/>
      <c r="HR97" s="539"/>
      <c r="HS97" s="539"/>
      <c r="HT97" s="539"/>
      <c r="HU97" s="539"/>
      <c r="HV97" s="673"/>
      <c r="HW97" s="673"/>
      <c r="HX97" s="539"/>
    </row>
    <row r="98" spans="1:232" ht="20.100000000000001" hidden="1" customHeight="1">
      <c r="A98" s="426" t="s">
        <v>19</v>
      </c>
      <c r="B98" s="31" t="s">
        <v>17</v>
      </c>
      <c r="C98" s="31" t="s">
        <v>90</v>
      </c>
      <c r="D98" s="31">
        <v>2013</v>
      </c>
      <c r="E98" s="31" t="s">
        <v>18</v>
      </c>
      <c r="F98" s="31" t="s">
        <v>16</v>
      </c>
      <c r="G98" s="74" t="s">
        <v>337</v>
      </c>
      <c r="H98" s="31" t="s">
        <v>187</v>
      </c>
      <c r="I98" s="31"/>
      <c r="J98" s="31"/>
      <c r="K98" s="180" t="s">
        <v>365</v>
      </c>
      <c r="L98" s="204" t="s">
        <v>44</v>
      </c>
      <c r="M98" s="204" t="s">
        <v>104</v>
      </c>
      <c r="N98" s="204" t="s">
        <v>105</v>
      </c>
      <c r="O98" s="142">
        <v>4625</v>
      </c>
      <c r="P98" s="142">
        <v>215000</v>
      </c>
      <c r="Q98" s="142">
        <v>104244</v>
      </c>
      <c r="R98" s="142">
        <f t="shared" si="305"/>
        <v>15357.142857142857</v>
      </c>
      <c r="S98" s="142">
        <f t="shared" si="306"/>
        <v>46.486486486486484</v>
      </c>
      <c r="T98" s="142">
        <f t="shared" si="307"/>
        <v>22.539243243243245</v>
      </c>
      <c r="U98" s="142">
        <f t="shared" si="308"/>
        <v>89.684215959977479</v>
      </c>
      <c r="V98" s="142">
        <f t="shared" si="309"/>
        <v>7446</v>
      </c>
      <c r="W98" s="142">
        <f t="shared" si="310"/>
        <v>330.35714285714283</v>
      </c>
      <c r="X98" s="143">
        <v>1148.97</v>
      </c>
      <c r="Y98" s="522">
        <f t="shared" si="290"/>
        <v>30.27027027027027</v>
      </c>
      <c r="Z98" s="143" t="s">
        <v>166</v>
      </c>
      <c r="AA98" s="143">
        <v>20</v>
      </c>
      <c r="AB98" s="144"/>
      <c r="AC98" s="31" t="s">
        <v>10</v>
      </c>
      <c r="AD98" s="493">
        <f t="shared" si="338"/>
        <v>14</v>
      </c>
      <c r="AE98" s="493">
        <f t="shared" si="291"/>
        <v>14</v>
      </c>
      <c r="AF98" s="42"/>
      <c r="AG98" s="31">
        <v>14</v>
      </c>
      <c r="AH98" s="42"/>
      <c r="AI98" s="42"/>
      <c r="AJ98" s="796">
        <v>1141.9099999999999</v>
      </c>
      <c r="AK98" s="276">
        <v>1162.3449999999998</v>
      </c>
      <c r="AL98" s="586">
        <f t="shared" si="339"/>
        <v>81.564999999999984</v>
      </c>
      <c r="AM98" s="8">
        <f t="shared" si="340"/>
        <v>83.024642857142837</v>
      </c>
      <c r="AN98" s="35">
        <v>5.2</v>
      </c>
      <c r="AO98" s="35">
        <v>5.1100000000000003</v>
      </c>
      <c r="AP98" s="35">
        <v>424.27657409999989</v>
      </c>
      <c r="AQ98" s="37"/>
      <c r="AR98" s="37"/>
      <c r="AS98" s="37"/>
      <c r="AT98" s="37"/>
      <c r="AU98" s="37"/>
      <c r="AV98" s="35"/>
      <c r="AW98" s="51">
        <v>551.16</v>
      </c>
      <c r="AX98" s="53">
        <f>AW98/O98</f>
        <v>0.11916972972972972</v>
      </c>
      <c r="AY98" s="37">
        <v>1.5</v>
      </c>
      <c r="AZ98" s="31" t="s">
        <v>397</v>
      </c>
      <c r="BA98" s="31" t="s">
        <v>99</v>
      </c>
      <c r="BB98" s="31"/>
      <c r="BC98" s="31"/>
      <c r="BD98" s="31"/>
      <c r="BE98" s="31"/>
      <c r="BF98" s="73">
        <v>41233</v>
      </c>
      <c r="BG98" s="73"/>
      <c r="BH98" s="73">
        <v>40963</v>
      </c>
      <c r="BI98" s="73"/>
      <c r="BJ98" s="660">
        <v>41363</v>
      </c>
      <c r="BK98" s="660">
        <v>41515</v>
      </c>
      <c r="BL98" s="661"/>
      <c r="BM98" s="659">
        <f t="shared" si="341"/>
        <v>5.0666666666666664</v>
      </c>
      <c r="BN98" s="578"/>
      <c r="BO98" s="110">
        <v>41549</v>
      </c>
      <c r="BP98" s="139">
        <v>41575</v>
      </c>
      <c r="BQ98" s="655">
        <f t="shared" si="325"/>
        <v>0.8666666666666667</v>
      </c>
      <c r="BR98" s="139"/>
      <c r="BS98" s="110">
        <f>DATE(YEAR(BP98),MONTH(BP98)+3,DAY(BP98))</f>
        <v>41667</v>
      </c>
      <c r="BT98" s="110"/>
      <c r="BU98" s="202">
        <v>41671</v>
      </c>
      <c r="BV98" s="201">
        <f t="shared" si="292"/>
        <v>42401</v>
      </c>
      <c r="BW98" s="439"/>
      <c r="BX98" s="201" t="str">
        <f t="shared" si="311"/>
        <v>non</v>
      </c>
      <c r="BY98" s="557">
        <f t="shared" si="312"/>
        <v>2.9333333333333331</v>
      </c>
      <c r="BZ98" s="439">
        <f t="shared" si="313"/>
        <v>17950.253697875891</v>
      </c>
      <c r="CA98" s="439">
        <f t="shared" si="314"/>
        <v>-17950.253697875891</v>
      </c>
      <c r="CB98" s="81"/>
      <c r="CC98" s="81"/>
      <c r="CD98" s="81"/>
      <c r="CE98" s="326" t="str">
        <f t="shared" si="315"/>
        <v>0</v>
      </c>
      <c r="CF98" s="81"/>
      <c r="CG98" s="81"/>
      <c r="CH98" s="326" t="str">
        <f t="shared" si="316"/>
        <v>0</v>
      </c>
      <c r="CI98" s="81"/>
      <c r="CJ98" s="81"/>
      <c r="CK98" s="326" t="str">
        <f t="shared" si="317"/>
        <v>0</v>
      </c>
      <c r="CL98" s="81"/>
      <c r="CM98" s="81"/>
      <c r="CN98" s="326" t="str">
        <f t="shared" si="318"/>
        <v>0</v>
      </c>
      <c r="CO98" s="83"/>
      <c r="CP98" s="365"/>
      <c r="CQ98" s="326" t="str">
        <f t="shared" si="342"/>
        <v>0</v>
      </c>
      <c r="CR98" s="292"/>
      <c r="CS98" s="159"/>
      <c r="CT98" s="81"/>
      <c r="CU98" s="159"/>
      <c r="CV98" s="326" t="str">
        <f t="shared" si="337"/>
        <v>0</v>
      </c>
      <c r="CW98" s="81"/>
      <c r="CX98" s="236">
        <v>41848</v>
      </c>
      <c r="CY98" s="230">
        <v>2014</v>
      </c>
      <c r="CZ98" s="285">
        <f t="shared" si="327"/>
        <v>11.1</v>
      </c>
      <c r="DA98" s="326" t="str">
        <f t="shared" si="293"/>
        <v>0</v>
      </c>
      <c r="DB98" s="168">
        <v>14</v>
      </c>
      <c r="DC98" s="168">
        <f t="shared" si="294"/>
        <v>14</v>
      </c>
      <c r="DD98" s="214"/>
      <c r="DE98" s="213"/>
      <c r="DF98" s="448" t="str">
        <f t="shared" si="319"/>
        <v>0</v>
      </c>
      <c r="DG98" s="214"/>
      <c r="DH98" s="395"/>
      <c r="DI98" s="396" t="str">
        <f t="shared" si="295"/>
        <v>0</v>
      </c>
      <c r="DJ98" s="179"/>
      <c r="DK98" s="395"/>
      <c r="DL98" s="448" t="str">
        <f t="shared" si="347"/>
        <v>0</v>
      </c>
      <c r="DM98" s="214"/>
      <c r="DN98" s="214"/>
      <c r="DO98" s="448" t="str">
        <f t="shared" si="296"/>
        <v>0</v>
      </c>
      <c r="DP98" s="214"/>
      <c r="DQ98" s="214"/>
      <c r="DR98" s="448" t="str">
        <f t="shared" si="297"/>
        <v>0</v>
      </c>
      <c r="DS98" s="214"/>
      <c r="DT98" s="214"/>
      <c r="DU98" s="448" t="str">
        <f t="shared" si="298"/>
        <v>0</v>
      </c>
      <c r="DV98" s="214"/>
      <c r="DW98" s="214"/>
      <c r="DX98" s="448" t="str">
        <f t="shared" si="299"/>
        <v>0</v>
      </c>
      <c r="DY98" s="214"/>
      <c r="DZ98" s="214"/>
      <c r="EA98" s="214"/>
      <c r="EB98" s="293">
        <f t="shared" si="258"/>
        <v>42275</v>
      </c>
      <c r="EC98" s="236">
        <v>42276</v>
      </c>
      <c r="ED98" s="468">
        <f t="shared" si="343"/>
        <v>3.3333333333333333E-2</v>
      </c>
      <c r="EE98" s="752"/>
      <c r="EF98" s="236"/>
      <c r="EG98" s="753">
        <v>42333</v>
      </c>
      <c r="EH98" s="162" t="s">
        <v>105</v>
      </c>
      <c r="EI98" s="754"/>
      <c r="EJ98" s="293"/>
      <c r="EK98" s="533">
        <f>DATE(YEAR(EB98),MONTH(EB98)+1,DAY(EB98))</f>
        <v>42305</v>
      </c>
      <c r="EL98" s="240">
        <v>42313</v>
      </c>
      <c r="EM98" s="294">
        <v>2015</v>
      </c>
      <c r="EN98" s="463">
        <f>(DATEDIF(EK98,EL98,"d"))/30</f>
        <v>0.26666666666666666</v>
      </c>
      <c r="EO98" s="460">
        <f>73432.856036765/12</f>
        <v>6119.4046697304175</v>
      </c>
      <c r="EP98" s="159">
        <f t="shared" si="259"/>
        <v>1631.8412452614446</v>
      </c>
      <c r="EQ98" s="75"/>
      <c r="ER98" s="349"/>
      <c r="ES98" s="454">
        <f>HC98</f>
        <v>23860</v>
      </c>
      <c r="ET98" s="353"/>
      <c r="EU98" s="353"/>
      <c r="EV98" s="353">
        <f>(25658+3320+12600+10350+8537+1080+595+1470+1190)*1.021</f>
        <v>66160.799999999988</v>
      </c>
      <c r="EW98" s="483">
        <f t="shared" si="260"/>
        <v>2.7264579017489746E-2</v>
      </c>
      <c r="EX98" s="350"/>
      <c r="EY98" s="362" t="s">
        <v>536</v>
      </c>
      <c r="EZ98" s="350"/>
      <c r="FA98" s="350" t="s">
        <v>707</v>
      </c>
      <c r="FB98" s="126">
        <f t="shared" si="321"/>
        <v>731</v>
      </c>
      <c r="FC98" s="75">
        <v>42725</v>
      </c>
      <c r="FD98" s="75">
        <v>42536</v>
      </c>
      <c r="FE98" s="75" t="s">
        <v>105</v>
      </c>
      <c r="FF98" s="75" t="s">
        <v>105</v>
      </c>
      <c r="FG98" s="75">
        <v>42555</v>
      </c>
      <c r="FH98" s="75">
        <v>42870</v>
      </c>
      <c r="FI98" s="75">
        <v>42660</v>
      </c>
      <c r="FJ98" s="446">
        <v>13313</v>
      </c>
      <c r="FK98" s="132">
        <v>42324</v>
      </c>
      <c r="FL98" s="132">
        <v>42402</v>
      </c>
      <c r="FM98" s="132"/>
      <c r="FN98" s="196"/>
      <c r="FO98" s="196"/>
      <c r="FP98" s="164">
        <v>42459</v>
      </c>
      <c r="FQ98" s="31"/>
      <c r="FR98" s="381" t="s">
        <v>426</v>
      </c>
      <c r="FS98" s="31" t="s">
        <v>295</v>
      </c>
      <c r="FT98" s="161" t="s">
        <v>105</v>
      </c>
      <c r="FU98" s="125"/>
      <c r="FV98" s="161" t="s">
        <v>105</v>
      </c>
      <c r="FW98" s="31"/>
      <c r="FX98" s="388">
        <v>2360150.41</v>
      </c>
      <c r="FY98" s="652">
        <f t="shared" si="344"/>
        <v>2426621</v>
      </c>
      <c r="FZ98" s="550">
        <f t="shared" si="264"/>
        <v>2426621</v>
      </c>
      <c r="GA98" s="500">
        <f t="shared" si="322"/>
        <v>2426621</v>
      </c>
      <c r="GB98" s="610">
        <f>GM98+GN98+GR98</f>
        <v>500000</v>
      </c>
      <c r="GC98" s="28">
        <f t="shared" si="345"/>
        <v>2087.6942732149237</v>
      </c>
      <c r="GD98" s="28">
        <f t="shared" si="261"/>
        <v>173330.07142857142</v>
      </c>
      <c r="GE98" s="45">
        <v>642565</v>
      </c>
      <c r="GF98" s="417"/>
      <c r="GG98" s="28">
        <f t="shared" si="323"/>
        <v>45897.5</v>
      </c>
      <c r="GH98" s="45">
        <f>+GI98+GJ98</f>
        <v>1260196</v>
      </c>
      <c r="GI98" s="59">
        <v>284216</v>
      </c>
      <c r="GJ98" s="59">
        <v>975980</v>
      </c>
      <c r="GK98" s="407">
        <f t="shared" si="262"/>
        <v>90014</v>
      </c>
      <c r="GL98" s="45"/>
      <c r="GM98" s="45">
        <v>500000</v>
      </c>
      <c r="GN98" s="45"/>
      <c r="GO98" s="23">
        <f t="shared" si="346"/>
        <v>0.20604783359247283</v>
      </c>
      <c r="GP98" s="45"/>
      <c r="GQ98" s="45"/>
      <c r="GR98" s="45">
        <v>0</v>
      </c>
      <c r="GS98" s="28">
        <f t="shared" si="300"/>
        <v>35714.285714285717</v>
      </c>
      <c r="GT98" s="28">
        <f t="shared" si="301"/>
        <v>81611.78571428571</v>
      </c>
      <c r="GU98" s="682">
        <v>461213.14905750001</v>
      </c>
      <c r="GV98" s="682">
        <v>238500</v>
      </c>
      <c r="GW98" s="680" t="e">
        <f>(#REF!+#REF!+GV98)/AD98</f>
        <v>#REF!</v>
      </c>
      <c r="GX98" s="682">
        <v>0</v>
      </c>
      <c r="GY98" s="682">
        <f t="shared" si="302"/>
        <v>98647.5</v>
      </c>
      <c r="GZ98" s="681">
        <f t="shared" si="324"/>
        <v>0.49653574328412386</v>
      </c>
      <c r="HA98" s="682">
        <v>106433.17505000001</v>
      </c>
      <c r="HB98" s="682"/>
      <c r="HC98" s="45">
        <v>23860</v>
      </c>
      <c r="HD98" s="602"/>
      <c r="HE98" s="608">
        <f t="shared" si="303"/>
        <v>0</v>
      </c>
      <c r="HF98" s="616">
        <f t="shared" si="304"/>
        <v>2426621</v>
      </c>
      <c r="HG98" s="602">
        <f ca="1">IF(EE98&lt;DATEDIF(TODAY(),$HG$1,"M"),HF98,(HF98/EE98*DATEDIF(TODAY(),$HG$1,"M")))</f>
        <v>2426621</v>
      </c>
      <c r="HH98" s="602"/>
      <c r="HI98" s="602"/>
      <c r="HJ98" s="602">
        <f t="shared" ref="HJ98:HJ129" si="349">GB98-HI98</f>
        <v>500000</v>
      </c>
      <c r="HK98" s="609">
        <f t="shared" si="348"/>
        <v>0</v>
      </c>
      <c r="HL98" s="609"/>
      <c r="HM98" s="673"/>
      <c r="HN98" s="62"/>
      <c r="HO98" s="673"/>
      <c r="HP98" s="673">
        <f>HQ98+HR98+HS98+HT98+HU98</f>
        <v>0</v>
      </c>
      <c r="HQ98" s="539"/>
      <c r="HR98" s="539"/>
      <c r="HS98" s="539"/>
      <c r="HT98" s="539"/>
      <c r="HU98" s="539"/>
      <c r="HV98" s="673"/>
      <c r="HW98" s="673">
        <f>HV98+HP98+HO98+HM98</f>
        <v>0</v>
      </c>
      <c r="HX98" s="539"/>
    </row>
    <row r="99" spans="1:232" ht="20.100000000000001" hidden="1" customHeight="1">
      <c r="A99" s="426" t="s">
        <v>246</v>
      </c>
      <c r="B99" s="31" t="s">
        <v>20</v>
      </c>
      <c r="C99" s="31" t="s">
        <v>91</v>
      </c>
      <c r="D99" s="31">
        <v>2013</v>
      </c>
      <c r="E99" s="31" t="s">
        <v>35</v>
      </c>
      <c r="F99" s="31" t="s">
        <v>709</v>
      </c>
      <c r="G99" s="74" t="s">
        <v>337</v>
      </c>
      <c r="H99" s="31" t="s">
        <v>187</v>
      </c>
      <c r="I99" s="31"/>
      <c r="J99" s="31" t="s">
        <v>265</v>
      </c>
      <c r="K99" s="270" t="s">
        <v>451</v>
      </c>
      <c r="L99" s="114" t="s">
        <v>43</v>
      </c>
      <c r="M99" s="115" t="s">
        <v>51</v>
      </c>
      <c r="N99" s="116"/>
      <c r="O99" s="142">
        <v>18523</v>
      </c>
      <c r="P99" s="142">
        <v>492000</v>
      </c>
      <c r="Q99" s="142">
        <v>699015</v>
      </c>
      <c r="R99" s="142">
        <f t="shared" si="305"/>
        <v>13297.297297297297</v>
      </c>
      <c r="S99" s="142">
        <f t="shared" si="306"/>
        <v>26.56157209955191</v>
      </c>
      <c r="T99" s="142">
        <f t="shared" si="307"/>
        <v>37.737677482049342</v>
      </c>
      <c r="U99" s="142">
        <f>Q99/(AK99+AK142)</f>
        <v>109.80494724291822</v>
      </c>
      <c r="V99" s="142">
        <f>Q99/(AD99+AD142)</f>
        <v>9446.1486486486483</v>
      </c>
      <c r="W99" s="142">
        <f>O99/(AD99+AD142)</f>
        <v>250.31081081081081</v>
      </c>
      <c r="X99" s="143"/>
      <c r="Y99" s="522">
        <f t="shared" si="290"/>
        <v>19.975166009825621</v>
      </c>
      <c r="Z99" s="143" t="s">
        <v>157</v>
      </c>
      <c r="AA99" s="143"/>
      <c r="AB99" s="144"/>
      <c r="AC99" s="31" t="s">
        <v>9</v>
      </c>
      <c r="AD99" s="493">
        <f t="shared" si="338"/>
        <v>37</v>
      </c>
      <c r="AE99" s="494">
        <f t="shared" si="291"/>
        <v>37</v>
      </c>
      <c r="AF99" s="31">
        <v>37</v>
      </c>
      <c r="AG99" s="42"/>
      <c r="AH99" s="42"/>
      <c r="AI99" s="42"/>
      <c r="AJ99" s="796">
        <v>3242.2099999999996</v>
      </c>
      <c r="AK99" s="276">
        <v>3588.5999999999995</v>
      </c>
      <c r="AL99" s="586">
        <f t="shared" si="339"/>
        <v>87.627297297297289</v>
      </c>
      <c r="AM99" s="8">
        <f t="shared" si="340"/>
        <v>96.989189189189176</v>
      </c>
      <c r="AN99" s="35">
        <v>6.79</v>
      </c>
      <c r="AO99" s="35">
        <v>6.1377656857827567</v>
      </c>
      <c r="AP99" s="35">
        <v>595.29691729729723</v>
      </c>
      <c r="AQ99" s="37"/>
      <c r="AR99" s="37"/>
      <c r="AS99" s="37"/>
      <c r="AT99" s="37"/>
      <c r="AU99" s="37"/>
      <c r="AV99" s="35">
        <v>3236</v>
      </c>
      <c r="AW99" s="51"/>
      <c r="AX99" s="53">
        <f>AW99/O99</f>
        <v>0</v>
      </c>
      <c r="AY99" s="35">
        <v>3.5</v>
      </c>
      <c r="AZ99" s="34" t="s">
        <v>398</v>
      </c>
      <c r="BA99" s="32" t="s">
        <v>98</v>
      </c>
      <c r="BB99" s="32"/>
      <c r="BC99" s="32"/>
      <c r="BD99" s="32"/>
      <c r="BE99" s="32"/>
      <c r="BF99" s="73">
        <v>41170</v>
      </c>
      <c r="BG99" s="73"/>
      <c r="BH99" s="73">
        <v>40963</v>
      </c>
      <c r="BI99" s="73"/>
      <c r="BJ99" s="660">
        <v>41363</v>
      </c>
      <c r="BK99" s="660">
        <v>41493</v>
      </c>
      <c r="BL99" s="661"/>
      <c r="BM99" s="659">
        <f t="shared" si="341"/>
        <v>4.333333333333333</v>
      </c>
      <c r="BN99" s="578"/>
      <c r="BO99" s="110">
        <v>41549</v>
      </c>
      <c r="BP99" s="139">
        <v>41576</v>
      </c>
      <c r="BQ99" s="655">
        <f t="shared" si="325"/>
        <v>0.9</v>
      </c>
      <c r="BR99" s="139"/>
      <c r="BS99" s="110">
        <f>DATE(YEAR(BP99),MONTH(BP99)+3,DAY(BP99))</f>
        <v>41668</v>
      </c>
      <c r="BT99" s="110"/>
      <c r="BU99" s="202">
        <v>41671</v>
      </c>
      <c r="BV99" s="201">
        <f t="shared" si="292"/>
        <v>42401</v>
      </c>
      <c r="BW99" s="439"/>
      <c r="BX99" s="201" t="str">
        <f t="shared" si="311"/>
        <v>oui</v>
      </c>
      <c r="BY99" s="557">
        <f t="shared" si="312"/>
        <v>-10.1</v>
      </c>
      <c r="BZ99" s="439" t="str">
        <f t="shared" si="313"/>
        <v>0</v>
      </c>
      <c r="CA99" s="439">
        <f t="shared" si="314"/>
        <v>0</v>
      </c>
      <c r="CB99" s="81"/>
      <c r="CC99" s="81"/>
      <c r="CD99" s="81"/>
      <c r="CE99" s="326" t="str">
        <f t="shared" si="315"/>
        <v>0</v>
      </c>
      <c r="CF99" s="81"/>
      <c r="CG99" s="81"/>
      <c r="CH99" s="326" t="str">
        <f t="shared" si="316"/>
        <v>0</v>
      </c>
      <c r="CI99" s="81"/>
      <c r="CJ99" s="81"/>
      <c r="CK99" s="326" t="str">
        <f t="shared" si="317"/>
        <v>0</v>
      </c>
      <c r="CL99" s="81"/>
      <c r="CM99" s="81"/>
      <c r="CN99" s="326" t="str">
        <f t="shared" si="318"/>
        <v>0</v>
      </c>
      <c r="CO99" s="83"/>
      <c r="CP99" s="365"/>
      <c r="CQ99" s="326" t="str">
        <f t="shared" si="342"/>
        <v>0</v>
      </c>
      <c r="CR99" s="292"/>
      <c r="CS99" s="159"/>
      <c r="CT99" s="81"/>
      <c r="CU99" s="159"/>
      <c r="CV99" s="326" t="str">
        <f t="shared" si="337"/>
        <v>0</v>
      </c>
      <c r="CW99" s="81"/>
      <c r="CX99" s="236">
        <v>41801</v>
      </c>
      <c r="CY99" s="230">
        <v>2014</v>
      </c>
      <c r="CZ99" s="285">
        <f t="shared" si="327"/>
        <v>10.266666666666667</v>
      </c>
      <c r="DA99" s="326" t="str">
        <f t="shared" si="293"/>
        <v>0</v>
      </c>
      <c r="DB99" s="168">
        <v>24</v>
      </c>
      <c r="DC99" s="76">
        <f t="shared" si="294"/>
        <v>28</v>
      </c>
      <c r="DD99" s="81"/>
      <c r="DE99" s="159"/>
      <c r="DF99" s="326" t="str">
        <f t="shared" si="319"/>
        <v>0</v>
      </c>
      <c r="DG99" s="81"/>
      <c r="DH99" s="363"/>
      <c r="DI99" s="329" t="str">
        <f t="shared" si="295"/>
        <v>0</v>
      </c>
      <c r="DJ99" s="83"/>
      <c r="DK99" s="395"/>
      <c r="DL99" s="326" t="str">
        <f t="shared" si="347"/>
        <v>0</v>
      </c>
      <c r="DM99" s="81"/>
      <c r="DN99" s="81"/>
      <c r="DO99" s="326" t="str">
        <f t="shared" si="296"/>
        <v>0</v>
      </c>
      <c r="DP99" s="81"/>
      <c r="DQ99" s="81"/>
      <c r="DR99" s="326" t="str">
        <f t="shared" si="297"/>
        <v>0</v>
      </c>
      <c r="DS99" s="81"/>
      <c r="DT99" s="81"/>
      <c r="DU99" s="326" t="str">
        <f t="shared" si="298"/>
        <v>0</v>
      </c>
      <c r="DV99" s="81"/>
      <c r="DW99" s="81"/>
      <c r="DX99" s="326" t="str">
        <f t="shared" si="299"/>
        <v>0</v>
      </c>
      <c r="DY99" s="81"/>
      <c r="DZ99" s="81"/>
      <c r="EA99" s="81"/>
      <c r="EB99" s="367">
        <f t="shared" ref="EB99:EB130" si="350">DATE(YEAR(CX99),MONTH(CX99)+DB99,DAY(CX99))</f>
        <v>42532</v>
      </c>
      <c r="EC99" s="236">
        <v>42682</v>
      </c>
      <c r="ED99" s="468">
        <f t="shared" si="343"/>
        <v>5</v>
      </c>
      <c r="EE99" s="752"/>
      <c r="EF99" s="793"/>
      <c r="EG99" s="753">
        <v>42726</v>
      </c>
      <c r="EH99" s="75">
        <v>42538</v>
      </c>
      <c r="EI99" s="754">
        <v>42692</v>
      </c>
      <c r="EJ99" s="293"/>
      <c r="EK99" s="533">
        <f>DATE(YEAR(EB99),MONTH(EB99)+1,DAY(EB99))</f>
        <v>42562</v>
      </c>
      <c r="EL99" s="238">
        <v>42704</v>
      </c>
      <c r="EM99" s="232">
        <v>2016</v>
      </c>
      <c r="EN99" s="465">
        <f>(DATEDIF(EK99,EL99,"d"))/30</f>
        <v>4.7333333333333334</v>
      </c>
      <c r="EO99" s="455">
        <f>277640.753085829/12</f>
        <v>23136.729423819084</v>
      </c>
      <c r="EP99" s="213">
        <f t="shared" si="259"/>
        <v>109513.85260607699</v>
      </c>
      <c r="EQ99" s="75">
        <v>42670</v>
      </c>
      <c r="ER99" s="349"/>
      <c r="ES99" s="454">
        <f>HC99</f>
        <v>0</v>
      </c>
      <c r="ET99" s="353"/>
      <c r="EU99" s="353"/>
      <c r="EV99" s="353">
        <f>128413*1.021</f>
        <v>131109.67299999998</v>
      </c>
      <c r="EW99" s="483">
        <f>EV99/(FZ99+FZ100)</f>
        <v>9.6389719953015856E-3</v>
      </c>
      <c r="EX99" s="350"/>
      <c r="EY99" s="362"/>
      <c r="EZ99" s="350"/>
      <c r="FA99" s="350"/>
      <c r="FB99" s="126">
        <f t="shared" si="321"/>
        <v>731</v>
      </c>
      <c r="FC99" s="218" t="s">
        <v>105</v>
      </c>
      <c r="FD99" s="218" t="s">
        <v>105</v>
      </c>
      <c r="FE99" s="218" t="s">
        <v>105</v>
      </c>
      <c r="FF99" s="218" t="s">
        <v>105</v>
      </c>
      <c r="FG99" s="81">
        <v>43224</v>
      </c>
      <c r="FH99" s="401" t="s">
        <v>105</v>
      </c>
      <c r="FI99" s="81">
        <f t="shared" ref="FI99:FI130" si="351">DATE(YEAR(EC99)+1,MONTH(EC99),DAY(EC99))</f>
        <v>43047</v>
      </c>
      <c r="FJ99" s="442">
        <v>91095</v>
      </c>
      <c r="FK99" s="215">
        <v>42795</v>
      </c>
      <c r="FL99" s="220"/>
      <c r="FM99" s="220"/>
      <c r="FN99" s="220"/>
      <c r="FO99" s="220"/>
      <c r="FP99" s="192"/>
      <c r="FQ99" s="31"/>
      <c r="FR99" s="275" t="s">
        <v>428</v>
      </c>
      <c r="FS99" s="31" t="s">
        <v>295</v>
      </c>
      <c r="FT99" s="161" t="s">
        <v>105</v>
      </c>
      <c r="FU99" s="125"/>
      <c r="FV99" s="74" t="s">
        <v>105</v>
      </c>
      <c r="FW99" s="31"/>
      <c r="FX99" s="394">
        <v>6447379</v>
      </c>
      <c r="FY99" s="652">
        <f t="shared" si="344"/>
        <v>7137960</v>
      </c>
      <c r="FZ99" s="550">
        <f t="shared" si="264"/>
        <v>7137960</v>
      </c>
      <c r="GA99" s="500">
        <f t="shared" si="322"/>
        <v>7137960</v>
      </c>
      <c r="GB99" s="610">
        <f>GM99+GN99+GR99</f>
        <v>1</v>
      </c>
      <c r="GC99" s="28">
        <f t="shared" si="345"/>
        <v>1989.0653736833308</v>
      </c>
      <c r="GD99" s="28">
        <f t="shared" si="261"/>
        <v>192917.83783783784</v>
      </c>
      <c r="GE99" s="45">
        <v>2453735</v>
      </c>
      <c r="GF99" s="417"/>
      <c r="GG99" s="28">
        <f t="shared" si="323"/>
        <v>66317.16216216216</v>
      </c>
      <c r="GH99" s="45">
        <f>+GI99+GJ99</f>
        <v>4684224</v>
      </c>
      <c r="GI99" s="59">
        <v>641413</v>
      </c>
      <c r="GJ99" s="59">
        <v>4042811</v>
      </c>
      <c r="GK99" s="407">
        <f t="shared" si="262"/>
        <v>126600.64864864865</v>
      </c>
      <c r="GL99" s="45"/>
      <c r="GM99" s="45">
        <v>1</v>
      </c>
      <c r="GN99" s="45"/>
      <c r="GO99" s="23">
        <f t="shared" si="346"/>
        <v>1.4009604985177837E-7</v>
      </c>
      <c r="GP99" s="45"/>
      <c r="GQ99" s="45"/>
      <c r="GR99" s="45">
        <v>0</v>
      </c>
      <c r="GS99" s="28">
        <f t="shared" si="300"/>
        <v>2.7027027027027029E-2</v>
      </c>
      <c r="GT99" s="28">
        <f t="shared" si="301"/>
        <v>66317.189189189186</v>
      </c>
      <c r="GU99" s="682">
        <v>2196102.662575</v>
      </c>
      <c r="GV99" s="682">
        <v>1303101.6922500001</v>
      </c>
      <c r="GW99" s="680" t="e">
        <f>(#REF!+#REF!+GV99)/AD99</f>
        <v>#REF!</v>
      </c>
      <c r="GX99" s="682">
        <v>0</v>
      </c>
      <c r="GY99" s="682">
        <f t="shared" si="302"/>
        <v>101536.15384459461</v>
      </c>
      <c r="GZ99" s="681">
        <f t="shared" si="324"/>
        <v>0.41994795777936861</v>
      </c>
      <c r="HA99" s="682">
        <v>388102.52</v>
      </c>
      <c r="HB99" s="682"/>
      <c r="HC99" s="45">
        <v>0</v>
      </c>
      <c r="HD99" s="602"/>
      <c r="HE99" s="608">
        <f t="shared" si="303"/>
        <v>0</v>
      </c>
      <c r="HF99" s="616">
        <f t="shared" si="304"/>
        <v>7137960</v>
      </c>
      <c r="HG99" s="602">
        <f ca="1">IF(EE99&lt;DATEDIF(TODAY(),$HG$1,"M"),HF99,(HF99/EE99*DATEDIF(TODAY(),$HG$1,"M")))</f>
        <v>7137960</v>
      </c>
      <c r="HH99" s="602"/>
      <c r="HI99" s="602"/>
      <c r="HJ99" s="602">
        <f t="shared" si="349"/>
        <v>1</v>
      </c>
      <c r="HK99" s="609">
        <f t="shared" si="348"/>
        <v>0</v>
      </c>
      <c r="HL99" s="609"/>
      <c r="HM99" s="673"/>
      <c r="HN99" s="62"/>
      <c r="HO99" s="673"/>
      <c r="HP99" s="673">
        <f>HQ99+HR99+HS99+HT99+HU99</f>
        <v>0</v>
      </c>
      <c r="HQ99" s="539"/>
      <c r="HR99" s="539"/>
      <c r="HS99" s="539"/>
      <c r="HT99" s="539"/>
      <c r="HU99" s="539"/>
      <c r="HV99" s="673"/>
      <c r="HW99" s="673">
        <f>HV99+HP99+HO99+HM99</f>
        <v>0</v>
      </c>
      <c r="HX99" s="539"/>
    </row>
    <row r="100" spans="1:232" ht="20.100000000000001" hidden="1" customHeight="1">
      <c r="A100" s="426" t="s">
        <v>247</v>
      </c>
      <c r="B100" s="31" t="s">
        <v>20</v>
      </c>
      <c r="C100" s="31" t="s">
        <v>91</v>
      </c>
      <c r="D100" s="31">
        <v>2013</v>
      </c>
      <c r="E100" s="31" t="s">
        <v>35</v>
      </c>
      <c r="F100" s="31" t="s">
        <v>709</v>
      </c>
      <c r="G100" s="212"/>
      <c r="H100" s="31" t="s">
        <v>187</v>
      </c>
      <c r="I100" s="31"/>
      <c r="J100" s="31" t="s">
        <v>265</v>
      </c>
      <c r="K100" s="180"/>
      <c r="L100" s="114" t="s">
        <v>43</v>
      </c>
      <c r="M100" s="115" t="s">
        <v>51</v>
      </c>
      <c r="N100" s="116"/>
      <c r="O100" s="43"/>
      <c r="P100" s="43"/>
      <c r="Q100" s="43"/>
      <c r="R100" s="43"/>
      <c r="S100" s="43"/>
      <c r="T100" s="43"/>
      <c r="U100" s="43"/>
      <c r="V100" s="43"/>
      <c r="W100" s="43"/>
      <c r="X100" s="42"/>
      <c r="Y100" s="42" t="e">
        <f t="shared" si="290"/>
        <v>#DIV/0!</v>
      </c>
      <c r="Z100" s="42"/>
      <c r="AA100" s="143"/>
      <c r="AB100" s="803"/>
      <c r="AC100" s="31" t="s">
        <v>10</v>
      </c>
      <c r="AD100" s="493">
        <f t="shared" si="338"/>
        <v>44</v>
      </c>
      <c r="AE100" s="493">
        <f t="shared" si="291"/>
        <v>44</v>
      </c>
      <c r="AF100" s="42"/>
      <c r="AG100" s="31">
        <v>44</v>
      </c>
      <c r="AH100" s="42"/>
      <c r="AI100" s="42"/>
      <c r="AJ100" s="797">
        <v>3100.0900000000011</v>
      </c>
      <c r="AK100" s="276">
        <v>3544.2900000000009</v>
      </c>
      <c r="AL100" s="586">
        <f t="shared" si="339"/>
        <v>70.456590909090934</v>
      </c>
      <c r="AM100" s="8">
        <f t="shared" si="340"/>
        <v>80.552045454545478</v>
      </c>
      <c r="AN100" s="35">
        <v>5.8912336179917348</v>
      </c>
      <c r="AO100" s="35">
        <v>5.15</v>
      </c>
      <c r="AP100" s="35">
        <v>415.07623697272737</v>
      </c>
      <c r="AQ100" s="37"/>
      <c r="AR100" s="37"/>
      <c r="AS100" s="37"/>
      <c r="AT100" s="37"/>
      <c r="AU100" s="37"/>
      <c r="AV100" s="35"/>
      <c r="AW100" s="51"/>
      <c r="AX100" s="53" t="e">
        <f>AW100/O100</f>
        <v>#DIV/0!</v>
      </c>
      <c r="AY100" s="35">
        <v>3.5</v>
      </c>
      <c r="AZ100" s="34" t="s">
        <v>398</v>
      </c>
      <c r="BA100" s="32" t="s">
        <v>98</v>
      </c>
      <c r="BB100" s="32"/>
      <c r="BC100" s="32"/>
      <c r="BD100" s="32"/>
      <c r="BE100" s="32"/>
      <c r="BF100" s="73">
        <v>41170</v>
      </c>
      <c r="BG100" s="73"/>
      <c r="BH100" s="73">
        <v>40963</v>
      </c>
      <c r="BI100" s="73"/>
      <c r="BJ100" s="660">
        <v>41363</v>
      </c>
      <c r="BK100" s="660">
        <v>41465</v>
      </c>
      <c r="BL100" s="661"/>
      <c r="BM100" s="659">
        <f t="shared" si="341"/>
        <v>3.4</v>
      </c>
      <c r="BN100" s="578"/>
      <c r="BO100" s="110">
        <v>41549</v>
      </c>
      <c r="BP100" s="139">
        <v>41583</v>
      </c>
      <c r="BQ100" s="655">
        <f t="shared" si="325"/>
        <v>1.1333333333333333</v>
      </c>
      <c r="BR100" s="139"/>
      <c r="BS100" s="110">
        <f>DATE(YEAR(BP100),MONTH(BP100)+3,DAY(BP100))</f>
        <v>41675</v>
      </c>
      <c r="BT100" s="110"/>
      <c r="BU100" s="202">
        <v>41699</v>
      </c>
      <c r="BV100" s="201">
        <f t="shared" si="292"/>
        <v>42430</v>
      </c>
      <c r="BW100" s="439">
        <f>100032+11205</f>
        <v>111237</v>
      </c>
      <c r="BX100" s="201" t="str">
        <f t="shared" si="311"/>
        <v>oui</v>
      </c>
      <c r="BY100" s="557">
        <f t="shared" si="312"/>
        <v>-9.1333333333333329</v>
      </c>
      <c r="BZ100" s="439" t="str">
        <f t="shared" si="313"/>
        <v>0</v>
      </c>
      <c r="CA100" s="439">
        <f t="shared" si="314"/>
        <v>111237</v>
      </c>
      <c r="CB100" s="81"/>
      <c r="CC100" s="81"/>
      <c r="CD100" s="81"/>
      <c r="CE100" s="326" t="str">
        <f t="shared" si="315"/>
        <v>0</v>
      </c>
      <c r="CF100" s="81"/>
      <c r="CG100" s="81"/>
      <c r="CH100" s="326" t="str">
        <f t="shared" si="316"/>
        <v>0</v>
      </c>
      <c r="CI100" s="81"/>
      <c r="CJ100" s="81"/>
      <c r="CK100" s="326" t="str">
        <f t="shared" si="317"/>
        <v>0</v>
      </c>
      <c r="CL100" s="81"/>
      <c r="CM100" s="81"/>
      <c r="CN100" s="326" t="str">
        <f t="shared" si="318"/>
        <v>0</v>
      </c>
      <c r="CO100" s="83"/>
      <c r="CP100" s="365"/>
      <c r="CQ100" s="326" t="str">
        <f t="shared" si="342"/>
        <v>0</v>
      </c>
      <c r="CR100" s="292"/>
      <c r="CS100" s="159"/>
      <c r="CT100" s="81"/>
      <c r="CU100" s="159"/>
      <c r="CV100" s="326" t="str">
        <f t="shared" si="337"/>
        <v>0</v>
      </c>
      <c r="CW100" s="81"/>
      <c r="CX100" s="236">
        <v>41801</v>
      </c>
      <c r="CY100" s="230">
        <v>2014</v>
      </c>
      <c r="CZ100" s="285">
        <f t="shared" si="327"/>
        <v>11.2</v>
      </c>
      <c r="DA100" s="326" t="str">
        <f t="shared" si="293"/>
        <v>0</v>
      </c>
      <c r="DB100" s="168">
        <v>24</v>
      </c>
      <c r="DC100" s="76">
        <f t="shared" si="294"/>
        <v>28</v>
      </c>
      <c r="DD100" s="81"/>
      <c r="DE100" s="159"/>
      <c r="DF100" s="326" t="str">
        <f t="shared" si="319"/>
        <v>0</v>
      </c>
      <c r="DG100" s="81"/>
      <c r="DH100" s="363"/>
      <c r="DI100" s="329" t="str">
        <f t="shared" si="295"/>
        <v>0</v>
      </c>
      <c r="DJ100" s="83"/>
      <c r="DK100" s="395"/>
      <c r="DL100" s="326" t="str">
        <f t="shared" si="347"/>
        <v>0</v>
      </c>
      <c r="DM100" s="81"/>
      <c r="DN100" s="81"/>
      <c r="DO100" s="326" t="str">
        <f t="shared" si="296"/>
        <v>0</v>
      </c>
      <c r="DP100" s="81"/>
      <c r="DQ100" s="81"/>
      <c r="DR100" s="326" t="str">
        <f t="shared" si="297"/>
        <v>0</v>
      </c>
      <c r="DS100" s="81"/>
      <c r="DT100" s="81"/>
      <c r="DU100" s="326" t="str">
        <f t="shared" si="298"/>
        <v>0</v>
      </c>
      <c r="DV100" s="81"/>
      <c r="DW100" s="81"/>
      <c r="DX100" s="326" t="str">
        <f t="shared" si="299"/>
        <v>0</v>
      </c>
      <c r="DY100" s="81"/>
      <c r="DZ100" s="81"/>
      <c r="EA100" s="81"/>
      <c r="EB100" s="367">
        <f t="shared" si="350"/>
        <v>42532</v>
      </c>
      <c r="EC100" s="236">
        <v>42682</v>
      </c>
      <c r="ED100" s="468">
        <f t="shared" si="343"/>
        <v>5</v>
      </c>
      <c r="EE100" s="752"/>
      <c r="EF100" s="793"/>
      <c r="EG100" s="753">
        <v>42726</v>
      </c>
      <c r="EH100" s="75">
        <v>42538</v>
      </c>
      <c r="EI100" s="754">
        <v>42692</v>
      </c>
      <c r="EJ100" s="293"/>
      <c r="EK100" s="533">
        <f>DATE(YEAR(EB100),MONTH(EB100)+1,DAY(EB100))</f>
        <v>42562</v>
      </c>
      <c r="EL100" s="238">
        <v>42704</v>
      </c>
      <c r="EM100" s="232">
        <v>2016</v>
      </c>
      <c r="EN100" s="465">
        <f>(DATEDIF(EK100,EL100,"d"))/30</f>
        <v>4.7333333333333334</v>
      </c>
      <c r="EO100" s="455">
        <f>215379.952064433/12</f>
        <v>17948.329338702748</v>
      </c>
      <c r="EP100" s="213">
        <f t="shared" ref="EP100:EP131" si="352">EO100*EN100</f>
        <v>84955.425536526338</v>
      </c>
      <c r="EQ100" s="75">
        <v>42670</v>
      </c>
      <c r="ER100" s="74"/>
      <c r="ES100" s="442">
        <f>HC100</f>
        <v>0</v>
      </c>
      <c r="ET100" s="159"/>
      <c r="EU100" s="159"/>
      <c r="EV100" s="159"/>
      <c r="EW100" s="484"/>
      <c r="EX100" s="350"/>
      <c r="EY100" s="362" t="s">
        <v>537</v>
      </c>
      <c r="EZ100" s="350"/>
      <c r="FA100" s="350"/>
      <c r="FB100" s="126">
        <f t="shared" si="321"/>
        <v>731</v>
      </c>
      <c r="FC100" s="218" t="s">
        <v>105</v>
      </c>
      <c r="FD100" s="218" t="s">
        <v>105</v>
      </c>
      <c r="FE100" s="218" t="s">
        <v>105</v>
      </c>
      <c r="FF100" s="218" t="s">
        <v>105</v>
      </c>
      <c r="FG100" s="81">
        <v>43224</v>
      </c>
      <c r="FH100" s="401" t="s">
        <v>105</v>
      </c>
      <c r="FI100" s="81">
        <f t="shared" si="351"/>
        <v>43047</v>
      </c>
      <c r="FJ100" s="442">
        <v>82104</v>
      </c>
      <c r="FK100" s="215">
        <v>42795</v>
      </c>
      <c r="FL100" s="220"/>
      <c r="FM100" s="220"/>
      <c r="FN100" s="220"/>
      <c r="FO100" s="220"/>
      <c r="FP100" s="192"/>
      <c r="FQ100" s="31"/>
      <c r="FR100" s="275" t="s">
        <v>428</v>
      </c>
      <c r="FS100" s="31" t="s">
        <v>295</v>
      </c>
      <c r="FT100" s="161" t="s">
        <v>105</v>
      </c>
      <c r="FU100" s="125"/>
      <c r="FV100" s="31"/>
      <c r="FW100" s="31"/>
      <c r="FX100" s="394">
        <v>6402537</v>
      </c>
      <c r="FY100" s="652">
        <f t="shared" si="344"/>
        <v>6464079</v>
      </c>
      <c r="FZ100" s="550">
        <f t="shared" si="264"/>
        <v>6464079</v>
      </c>
      <c r="GA100" s="500">
        <f t="shared" si="322"/>
        <v>6464079</v>
      </c>
      <c r="GB100" s="610">
        <f>GM100+GN100+GR100</f>
        <v>880000</v>
      </c>
      <c r="GC100" s="28">
        <f t="shared" si="345"/>
        <v>1823.8008176531825</v>
      </c>
      <c r="GD100" s="28">
        <f t="shared" ref="GD100:GD131" si="353">FZ100/AD100</f>
        <v>146910.88636363635</v>
      </c>
      <c r="GE100" s="45">
        <v>1905132</v>
      </c>
      <c r="GF100" s="417"/>
      <c r="GG100" s="28">
        <f t="shared" si="323"/>
        <v>43298.454545454544</v>
      </c>
      <c r="GH100" s="45">
        <f>+GI100+GJ100</f>
        <v>3678947</v>
      </c>
      <c r="GI100" s="59">
        <v>473086</v>
      </c>
      <c r="GJ100" s="59">
        <v>3205861</v>
      </c>
      <c r="GK100" s="407">
        <f t="shared" ref="GK100:GK131" si="354">GH100/AD100</f>
        <v>83612.431818181823</v>
      </c>
      <c r="GL100" s="45"/>
      <c r="GM100" s="45">
        <v>880000</v>
      </c>
      <c r="GN100" s="45"/>
      <c r="GO100" s="23">
        <f t="shared" si="346"/>
        <v>0.13613695005893336</v>
      </c>
      <c r="GP100" s="45"/>
      <c r="GQ100" s="45"/>
      <c r="GR100" s="45">
        <v>0</v>
      </c>
      <c r="GS100" s="28">
        <f t="shared" si="300"/>
        <v>20000</v>
      </c>
      <c r="GT100" s="28">
        <f t="shared" si="301"/>
        <v>63298.454545454544</v>
      </c>
      <c r="GU100" s="682">
        <v>0</v>
      </c>
      <c r="GV100" s="682">
        <v>0</v>
      </c>
      <c r="GW100" s="680" t="e">
        <f>(#REF!+#REF!+GV100)/AD100</f>
        <v>#REF!</v>
      </c>
      <c r="GX100" s="682">
        <v>0</v>
      </c>
      <c r="GY100" s="682">
        <f t="shared" si="302"/>
        <v>63298.454545454544</v>
      </c>
      <c r="GZ100" s="681">
        <f t="shared" si="324"/>
        <v>0.45371634850544579</v>
      </c>
      <c r="HA100" s="682">
        <v>325591.79499999998</v>
      </c>
      <c r="HB100" s="682"/>
      <c r="HC100" s="45">
        <v>0</v>
      </c>
      <c r="HD100" s="602"/>
      <c r="HE100" s="608">
        <f t="shared" si="303"/>
        <v>0</v>
      </c>
      <c r="HF100" s="616">
        <f t="shared" si="304"/>
        <v>6464079</v>
      </c>
      <c r="HG100" s="602">
        <f ca="1">IF(EE100&lt;DATEDIF(TODAY(),$HG$1,"M"),HF100,(HF100/EE100*DATEDIF(TODAY(),$HG$1,"M")))</f>
        <v>6464079</v>
      </c>
      <c r="HH100" s="602"/>
      <c r="HI100" s="602"/>
      <c r="HJ100" s="602">
        <f t="shared" si="349"/>
        <v>880000</v>
      </c>
      <c r="HK100" s="609">
        <f t="shared" si="348"/>
        <v>0</v>
      </c>
      <c r="HL100" s="609"/>
      <c r="HM100" s="673"/>
      <c r="HN100" s="62"/>
      <c r="HO100" s="673"/>
      <c r="HP100" s="673">
        <f>HQ100+HR100+HS100+HT100+HU100</f>
        <v>0</v>
      </c>
      <c r="HQ100" s="539"/>
      <c r="HR100" s="539"/>
      <c r="HS100" s="539"/>
      <c r="HT100" s="539"/>
      <c r="HU100" s="539"/>
      <c r="HV100" s="673"/>
      <c r="HW100" s="673">
        <f>HV100+HP100+HO100+HM100</f>
        <v>0</v>
      </c>
      <c r="HX100" s="539"/>
    </row>
    <row r="101" spans="1:232" ht="30" customHeight="1">
      <c r="A101" s="495" t="s">
        <v>915</v>
      </c>
      <c r="B101" s="31" t="s">
        <v>21</v>
      </c>
      <c r="C101" s="31" t="s">
        <v>90</v>
      </c>
      <c r="D101" s="31">
        <v>2020</v>
      </c>
      <c r="E101" s="31" t="s">
        <v>882</v>
      </c>
      <c r="F101" s="31" t="s">
        <v>40</v>
      </c>
      <c r="G101" s="31" t="s">
        <v>464</v>
      </c>
      <c r="H101" s="33" t="s">
        <v>890</v>
      </c>
      <c r="I101" s="31"/>
      <c r="J101" s="31" t="s">
        <v>845</v>
      </c>
      <c r="K101" s="180"/>
      <c r="L101" s="691"/>
      <c r="M101" s="692"/>
      <c r="N101" s="693"/>
      <c r="O101" s="207">
        <v>2150</v>
      </c>
      <c r="P101" s="207">
        <v>397000</v>
      </c>
      <c r="Q101" s="207">
        <v>397000</v>
      </c>
      <c r="R101" s="207">
        <f t="shared" ref="R101:R126" si="355">P101/AD101</f>
        <v>9022.7272727272721</v>
      </c>
      <c r="S101" s="207">
        <f t="shared" ref="S101:S126" si="356">P101/O101</f>
        <v>184.65116279069767</v>
      </c>
      <c r="T101" s="694">
        <f t="shared" ref="T101:T126" si="357">Q101/O101</f>
        <v>184.65116279069767</v>
      </c>
      <c r="U101" s="694">
        <f t="shared" ref="U101:U118" si="358">Q101/AK101</f>
        <v>99.476308602069707</v>
      </c>
      <c r="V101" s="694">
        <f t="shared" ref="V101:V126" si="359">Q101/AD101</f>
        <v>9022.7272727272721</v>
      </c>
      <c r="W101" s="207">
        <f t="shared" ref="W101:W126" si="360">O101/AD101</f>
        <v>48.863636363636367</v>
      </c>
      <c r="X101" s="695"/>
      <c r="Y101" s="696">
        <f t="shared" si="290"/>
        <v>204.65116279069767</v>
      </c>
      <c r="Z101" s="695" t="s">
        <v>164</v>
      </c>
      <c r="AA101" s="695">
        <v>520</v>
      </c>
      <c r="AB101" s="697">
        <v>0.1</v>
      </c>
      <c r="AC101" s="31" t="s">
        <v>301</v>
      </c>
      <c r="AD101" s="493">
        <f t="shared" si="338"/>
        <v>44</v>
      </c>
      <c r="AE101" s="493">
        <f t="shared" si="291"/>
        <v>44</v>
      </c>
      <c r="AF101" s="42"/>
      <c r="AG101" s="42"/>
      <c r="AH101" s="31">
        <v>44</v>
      </c>
      <c r="AI101" s="42"/>
      <c r="AJ101" s="800">
        <v>3427.7</v>
      </c>
      <c r="AK101" s="278">
        <v>3990.9</v>
      </c>
      <c r="AL101" s="586">
        <f t="shared" si="339"/>
        <v>77.902272727272717</v>
      </c>
      <c r="AM101" s="8">
        <f t="shared" si="340"/>
        <v>90.702272727272728</v>
      </c>
      <c r="AN101" s="35"/>
      <c r="AO101" s="35"/>
      <c r="AP101" s="35"/>
      <c r="AQ101" s="741"/>
      <c r="AR101" s="741"/>
      <c r="AS101" s="741"/>
      <c r="AT101" s="741"/>
      <c r="AU101" s="741"/>
      <c r="AV101" s="35"/>
      <c r="AW101" s="51" t="s">
        <v>133</v>
      </c>
      <c r="AX101" s="51" t="s">
        <v>133</v>
      </c>
      <c r="AY101" s="35"/>
      <c r="AZ101" s="31" t="s">
        <v>398</v>
      </c>
      <c r="BA101" s="31" t="s">
        <v>98</v>
      </c>
      <c r="BB101" s="160">
        <v>8370000</v>
      </c>
      <c r="BC101" s="504">
        <f>BB101/AJ101</f>
        <v>2441.8706421215393</v>
      </c>
      <c r="BD101" s="388">
        <f>BB101/AK101</f>
        <v>2097.2712921897314</v>
      </c>
      <c r="BE101" s="392">
        <f>BB101/AD101</f>
        <v>190227.27272727274</v>
      </c>
      <c r="BF101" s="381" t="s">
        <v>859</v>
      </c>
      <c r="BG101" s="381"/>
      <c r="BH101" s="73">
        <v>43816</v>
      </c>
      <c r="BI101" s="126"/>
      <c r="BJ101" s="660"/>
      <c r="BK101" s="660"/>
      <c r="BL101" s="661"/>
      <c r="BM101" s="659">
        <f t="shared" si="341"/>
        <v>0</v>
      </c>
      <c r="BN101" s="578" t="s">
        <v>235</v>
      </c>
      <c r="BO101" s="110"/>
      <c r="BP101" s="139"/>
      <c r="BQ101" s="742">
        <f t="shared" si="325"/>
        <v>0</v>
      </c>
      <c r="BR101" s="638"/>
      <c r="BS101" s="110"/>
      <c r="BT101" s="110"/>
      <c r="BU101" s="202"/>
      <c r="BV101" s="201">
        <f t="shared" si="292"/>
        <v>731</v>
      </c>
      <c r="BW101" s="439"/>
      <c r="BX101" s="201" t="str">
        <f t="shared" si="311"/>
        <v>oui</v>
      </c>
      <c r="BY101" s="557">
        <f t="shared" si="312"/>
        <v>-1470.1333333333334</v>
      </c>
      <c r="BZ101" s="439">
        <f t="shared" si="313"/>
        <v>0</v>
      </c>
      <c r="CA101" s="439">
        <f t="shared" si="314"/>
        <v>0</v>
      </c>
      <c r="CB101" s="341"/>
      <c r="CC101" s="341">
        <v>43696</v>
      </c>
      <c r="CD101" s="341">
        <v>43706</v>
      </c>
      <c r="CE101" s="343">
        <f t="shared" si="315"/>
        <v>10</v>
      </c>
      <c r="CF101" s="341"/>
      <c r="CG101" s="341"/>
      <c r="CH101" s="343" t="str">
        <f t="shared" si="316"/>
        <v>0</v>
      </c>
      <c r="CI101" s="341"/>
      <c r="CJ101" s="341">
        <f ca="1">IF(CI101&lt;TODAY(),TODAY(),CI101)</f>
        <v>43950</v>
      </c>
      <c r="CK101" s="343" t="str">
        <f t="shared" ca="1" si="317"/>
        <v>0</v>
      </c>
      <c r="CL101" s="344"/>
      <c r="CM101" s="341">
        <f ca="1">IF(CL101&lt;TODAY(),TODAY(),CL101)</f>
        <v>43950</v>
      </c>
      <c r="CN101" s="343" t="str">
        <f t="shared" ca="1" si="318"/>
        <v>0</v>
      </c>
      <c r="CO101" s="341"/>
      <c r="CP101" s="341">
        <f ca="1">IF(CO101&lt;TODAY(),TODAY(),CO101)</f>
        <v>43950</v>
      </c>
      <c r="CQ101" s="343" t="str">
        <f t="shared" ca="1" si="342"/>
        <v>0</v>
      </c>
      <c r="CR101" s="290"/>
      <c r="CS101" s="339"/>
      <c r="CT101" s="330"/>
      <c r="CU101" s="331"/>
      <c r="CV101" s="332" t="str">
        <f t="shared" si="337"/>
        <v>0</v>
      </c>
      <c r="CW101" s="330">
        <v>44228</v>
      </c>
      <c r="CX101" s="449">
        <v>44228</v>
      </c>
      <c r="CY101" s="233"/>
      <c r="CZ101" s="284">
        <f t="shared" si="327"/>
        <v>1474.2666666666667</v>
      </c>
      <c r="DA101" s="332">
        <f t="shared" si="293"/>
        <v>0</v>
      </c>
      <c r="DB101" s="450">
        <v>16</v>
      </c>
      <c r="DC101" s="169">
        <f t="shared" si="294"/>
        <v>19</v>
      </c>
      <c r="DD101" s="330"/>
      <c r="DE101" s="335">
        <f ca="1">IF(DD101&lt;TODAY(),TODAY(),DD101)</f>
        <v>43950</v>
      </c>
      <c r="DF101" s="332" t="str">
        <f t="shared" ca="1" si="319"/>
        <v>0</v>
      </c>
      <c r="DG101" s="330"/>
      <c r="DH101" s="348">
        <f ca="1">IF(DG101&lt;TODAY(),TODAY(),DG101)</f>
        <v>43950</v>
      </c>
      <c r="DI101" s="333" t="str">
        <f t="shared" ca="1" si="295"/>
        <v>0</v>
      </c>
      <c r="DJ101" s="334"/>
      <c r="DK101" s="348">
        <f ca="1">IF(DJ101&lt;TODAY(),TODAY(),DJ101)</f>
        <v>43950</v>
      </c>
      <c r="DL101" s="332" t="str">
        <f t="shared" ca="1" si="347"/>
        <v>0</v>
      </c>
      <c r="DM101" s="335"/>
      <c r="DN101" s="335">
        <f ca="1">IF(DM101&lt;TODAY(),TODAY(),DM101)</f>
        <v>43950</v>
      </c>
      <c r="DO101" s="332" t="str">
        <f t="shared" ca="1" si="296"/>
        <v>0</v>
      </c>
      <c r="DP101" s="336"/>
      <c r="DQ101" s="336"/>
      <c r="DR101" s="332" t="str">
        <f t="shared" si="297"/>
        <v>0</v>
      </c>
      <c r="DS101" s="335"/>
      <c r="DT101" s="335">
        <f ca="1">IF(DS101&lt;TODAY(),TODAY(),DS101)</f>
        <v>43950</v>
      </c>
      <c r="DU101" s="332" t="str">
        <f t="shared" ca="1" si="298"/>
        <v>0</v>
      </c>
      <c r="DV101" s="335"/>
      <c r="DW101" s="335">
        <f ca="1">IF(DV101&lt;TODAY(),TODAY(),DV101)</f>
        <v>43950</v>
      </c>
      <c r="DX101" s="332" t="str">
        <f t="shared" ca="1" si="299"/>
        <v>0</v>
      </c>
      <c r="DY101" s="335"/>
      <c r="DZ101" s="335"/>
      <c r="EA101" s="335"/>
      <c r="EB101" s="477">
        <f t="shared" si="350"/>
        <v>44713</v>
      </c>
      <c r="EC101" s="476">
        <f>DATE(YEAR(EB101),MONTH(EB101)+3,DAY(EB101))</f>
        <v>44805</v>
      </c>
      <c r="ED101" s="473">
        <f t="shared" si="343"/>
        <v>3.0666666666666669</v>
      </c>
      <c r="EE101" s="605">
        <f ca="1">IF(((EC101-TODAY())/30)&lt;0,0,(EC101-TODAY())/30)</f>
        <v>28.5</v>
      </c>
      <c r="EF101" s="476">
        <f ca="1">DATE(YEAR(DH101)+2,MONTH(DH101),DAY(DH101))</f>
        <v>44680</v>
      </c>
      <c r="EG101" s="535"/>
      <c r="EH101" s="526"/>
      <c r="EI101" s="536">
        <f>DATE(YEAR(EC101),MONTH(EC101)+4,DAY(EC101)+2)</f>
        <v>44929</v>
      </c>
      <c r="EJ101" s="295"/>
      <c r="EK101" s="534">
        <f>DATE(YEAR(EB101),MONTH(EB101)+2,DAY(EB101))</f>
        <v>44774</v>
      </c>
      <c r="EL101" s="476">
        <f>DATE(YEAR(EC101),MONTH(EC101)+1,DAY(EC101))</f>
        <v>44835</v>
      </c>
      <c r="EM101" s="368"/>
      <c r="EN101" s="471">
        <f>(EL101-EK101)/30</f>
        <v>2.0333333333333332</v>
      </c>
      <c r="EO101" s="461"/>
      <c r="EP101" s="173">
        <f t="shared" si="352"/>
        <v>0</v>
      </c>
      <c r="EQ101" s="77"/>
      <c r="ER101" s="353"/>
      <c r="ES101" s="353"/>
      <c r="ET101" s="353"/>
      <c r="EU101" s="353"/>
      <c r="EV101" s="353"/>
      <c r="EW101" s="743">
        <f t="shared" ref="EW101:EW132" si="361">EV101/FZ101</f>
        <v>0</v>
      </c>
      <c r="EX101" s="350"/>
      <c r="EY101" s="362"/>
      <c r="EZ101" s="350"/>
      <c r="FA101" s="362"/>
      <c r="FB101" s="126">
        <f t="shared" ca="1" si="321"/>
        <v>44680</v>
      </c>
      <c r="FC101" s="80"/>
      <c r="FD101" s="80"/>
      <c r="FE101" s="80"/>
      <c r="FF101" s="80"/>
      <c r="FG101" s="80"/>
      <c r="FH101" s="31"/>
      <c r="FI101" s="194">
        <f t="shared" si="351"/>
        <v>45170</v>
      </c>
      <c r="FJ101" s="194"/>
      <c r="FK101" s="31"/>
      <c r="FL101" s="31"/>
      <c r="FM101" s="31"/>
      <c r="FN101" s="31"/>
      <c r="FO101" s="31"/>
      <c r="FP101" s="31"/>
      <c r="FQ101" s="31"/>
      <c r="FR101" s="31"/>
      <c r="FS101" s="31"/>
      <c r="FT101" s="31"/>
      <c r="FU101" s="31"/>
      <c r="FV101" s="31"/>
      <c r="FW101" s="31"/>
      <c r="FX101" s="529"/>
      <c r="FY101" s="652">
        <f t="shared" si="344"/>
        <v>8734583</v>
      </c>
      <c r="FZ101" s="550">
        <f t="shared" si="264"/>
        <v>8734583</v>
      </c>
      <c r="GA101" s="45">
        <f t="shared" si="322"/>
        <v>8734583</v>
      </c>
      <c r="GB101" s="602">
        <f>GM101+GN101+GR101+GV101</f>
        <v>0</v>
      </c>
      <c r="GC101" s="28">
        <f t="shared" si="345"/>
        <v>2188.624871582851</v>
      </c>
      <c r="GD101" s="28">
        <f t="shared" si="353"/>
        <v>198513.25</v>
      </c>
      <c r="GE101" s="45">
        <v>3124155</v>
      </c>
      <c r="GF101" s="417"/>
      <c r="GG101" s="28">
        <f t="shared" si="323"/>
        <v>71003.522727272721</v>
      </c>
      <c r="GH101" s="45">
        <f t="shared" ref="GH101:GH133" si="362">GI101+GJ101</f>
        <v>4541983</v>
      </c>
      <c r="GI101" s="59">
        <v>581781</v>
      </c>
      <c r="GJ101" s="59">
        <f>3960202</f>
        <v>3960202</v>
      </c>
      <c r="GK101" s="407">
        <f t="shared" si="354"/>
        <v>103226.88636363637</v>
      </c>
      <c r="GL101" s="45">
        <v>1068445</v>
      </c>
      <c r="GM101" s="45"/>
      <c r="GN101" s="699"/>
      <c r="GO101" s="23">
        <f t="shared" si="346"/>
        <v>0</v>
      </c>
      <c r="GP101" s="699"/>
      <c r="GQ101" s="699"/>
      <c r="GR101" s="699"/>
      <c r="GS101" s="28">
        <f t="shared" si="300"/>
        <v>0</v>
      </c>
      <c r="GT101" s="28">
        <f t="shared" si="301"/>
        <v>71003.522727272721</v>
      </c>
      <c r="GU101" s="682"/>
      <c r="GV101" s="682"/>
      <c r="GW101" s="680">
        <f>(GE101+GM101+GV101)/AD101</f>
        <v>71003.522727272721</v>
      </c>
      <c r="GX101" s="682"/>
      <c r="GY101" s="682">
        <f t="shared" si="302"/>
        <v>71003.522727272721</v>
      </c>
      <c r="GZ101" s="744">
        <f t="shared" si="324"/>
        <v>0.35767649125321727</v>
      </c>
      <c r="HA101" s="682"/>
      <c r="HB101" s="682"/>
      <c r="HC101" s="45"/>
      <c r="HD101" s="602"/>
      <c r="HE101" s="745">
        <f t="shared" si="303"/>
        <v>0</v>
      </c>
      <c r="HF101" s="602">
        <f t="shared" si="304"/>
        <v>8734583</v>
      </c>
      <c r="HG101" s="602">
        <f ca="1">IF(EE101&lt;DATEDIF(TODAY(),$HG$1,"M"),HF101,(HF101/EE101*DATEDIF(TODAY(),$HG$1,"M")))*0+100000</f>
        <v>100000</v>
      </c>
      <c r="HH101" s="745">
        <f ca="1">(HD101+HG101)/FZ101</f>
        <v>1.1448743460334625E-2</v>
      </c>
      <c r="HI101" s="602"/>
      <c r="HJ101" s="602">
        <f t="shared" si="349"/>
        <v>0</v>
      </c>
      <c r="HK101" s="602" t="e">
        <f t="shared" si="348"/>
        <v>#DIV/0!</v>
      </c>
      <c r="HL101" s="602"/>
      <c r="HM101" s="673"/>
      <c r="HN101" s="62"/>
      <c r="HO101" s="673"/>
      <c r="HP101" s="673"/>
      <c r="HQ101" s="539"/>
      <c r="HR101" s="539"/>
      <c r="HS101" s="539"/>
      <c r="HT101" s="539"/>
      <c r="HU101" s="539"/>
      <c r="HV101" s="673"/>
      <c r="HW101" s="673"/>
      <c r="HX101" s="539"/>
    </row>
    <row r="102" spans="1:232" ht="30" customHeight="1">
      <c r="A102" s="495" t="s">
        <v>865</v>
      </c>
      <c r="B102" s="31" t="s">
        <v>21</v>
      </c>
      <c r="C102" s="31" t="s">
        <v>90</v>
      </c>
      <c r="D102" s="31">
        <v>2020</v>
      </c>
      <c r="E102" s="31" t="s">
        <v>783</v>
      </c>
      <c r="F102" s="31" t="s">
        <v>709</v>
      </c>
      <c r="G102" s="31" t="s">
        <v>337</v>
      </c>
      <c r="H102" s="33" t="s">
        <v>569</v>
      </c>
      <c r="I102" s="31"/>
      <c r="J102" s="31" t="s">
        <v>697</v>
      </c>
      <c r="K102" s="180" t="s">
        <v>696</v>
      </c>
      <c r="L102" s="114"/>
      <c r="M102" s="115"/>
      <c r="N102" s="116"/>
      <c r="O102" s="142">
        <v>4330</v>
      </c>
      <c r="P102" s="142">
        <v>400000</v>
      </c>
      <c r="Q102" s="142">
        <v>400000</v>
      </c>
      <c r="R102" s="142">
        <f t="shared" si="355"/>
        <v>19047.619047619046</v>
      </c>
      <c r="S102" s="142">
        <f t="shared" si="356"/>
        <v>92.378752886836025</v>
      </c>
      <c r="T102" s="148">
        <f t="shared" si="357"/>
        <v>92.378752886836025</v>
      </c>
      <c r="U102" s="148">
        <f t="shared" si="358"/>
        <v>213.33902237392996</v>
      </c>
      <c r="V102" s="148">
        <f t="shared" si="359"/>
        <v>19047.619047619046</v>
      </c>
      <c r="W102" s="142">
        <f t="shared" si="360"/>
        <v>206.1904761904762</v>
      </c>
      <c r="X102" s="143"/>
      <c r="Y102" s="525">
        <f t="shared" si="290"/>
        <v>48.498845265588912</v>
      </c>
      <c r="Z102" s="143" t="s">
        <v>698</v>
      </c>
      <c r="AA102" s="143">
        <v>760</v>
      </c>
      <c r="AB102" s="144">
        <v>0.2</v>
      </c>
      <c r="AC102" s="31" t="s">
        <v>9</v>
      </c>
      <c r="AD102" s="493">
        <f t="shared" si="338"/>
        <v>21</v>
      </c>
      <c r="AE102" s="493">
        <f t="shared" si="291"/>
        <v>21</v>
      </c>
      <c r="AF102" s="31">
        <v>21</v>
      </c>
      <c r="AG102" s="42"/>
      <c r="AH102" s="42"/>
      <c r="AI102" s="42"/>
      <c r="AJ102" s="797">
        <v>1612.45</v>
      </c>
      <c r="AK102" s="276">
        <v>1874.95</v>
      </c>
      <c r="AL102" s="586">
        <f t="shared" si="339"/>
        <v>76.783333333333331</v>
      </c>
      <c r="AM102" s="8">
        <f t="shared" si="340"/>
        <v>89.283333333333331</v>
      </c>
      <c r="AN102" s="35"/>
      <c r="AO102" s="35"/>
      <c r="AP102" s="35"/>
      <c r="AQ102" s="53"/>
      <c r="AR102" s="53"/>
      <c r="AS102" s="53"/>
      <c r="AT102" s="53"/>
      <c r="AU102" s="53"/>
      <c r="AV102" s="35"/>
      <c r="AW102" s="51"/>
      <c r="AX102" s="53"/>
      <c r="AY102" s="35"/>
      <c r="AZ102" s="34" t="s">
        <v>398</v>
      </c>
      <c r="BA102" s="31" t="s">
        <v>98</v>
      </c>
      <c r="BB102" s="42"/>
      <c r="BC102" s="42"/>
      <c r="BD102" s="42"/>
      <c r="BE102" s="42"/>
      <c r="BF102" s="165" t="s">
        <v>860</v>
      </c>
      <c r="BG102" s="165"/>
      <c r="BH102" s="73">
        <v>43781</v>
      </c>
      <c r="BI102" s="126"/>
      <c r="BJ102" s="660"/>
      <c r="BK102" s="660"/>
      <c r="BL102" s="661"/>
      <c r="BM102" s="659">
        <f t="shared" si="341"/>
        <v>0</v>
      </c>
      <c r="BN102" s="578" t="s">
        <v>235</v>
      </c>
      <c r="BO102" s="110"/>
      <c r="BP102" s="139"/>
      <c r="BQ102" s="654">
        <f t="shared" si="325"/>
        <v>0</v>
      </c>
      <c r="BR102" s="638"/>
      <c r="BS102" s="110"/>
      <c r="BT102" s="110"/>
      <c r="BU102" s="202"/>
      <c r="BV102" s="201">
        <f t="shared" si="292"/>
        <v>731</v>
      </c>
      <c r="BW102" s="439"/>
      <c r="BX102" s="201" t="str">
        <f t="shared" si="311"/>
        <v>oui</v>
      </c>
      <c r="BY102" s="557">
        <f t="shared" si="312"/>
        <v>-1471.6333333333334</v>
      </c>
      <c r="BZ102" s="439">
        <f t="shared" si="313"/>
        <v>0</v>
      </c>
      <c r="CA102" s="439">
        <f t="shared" si="314"/>
        <v>0</v>
      </c>
      <c r="CB102" s="214">
        <v>43558</v>
      </c>
      <c r="CC102" s="81">
        <v>43573</v>
      </c>
      <c r="CD102" s="81">
        <v>43563</v>
      </c>
      <c r="CE102" s="326">
        <f t="shared" si="315"/>
        <v>-10</v>
      </c>
      <c r="CF102" s="81">
        <v>43615</v>
      </c>
      <c r="CG102" s="81">
        <v>43614</v>
      </c>
      <c r="CH102" s="326">
        <f t="shared" si="316"/>
        <v>-1</v>
      </c>
      <c r="CI102" s="214">
        <v>43709</v>
      </c>
      <c r="CJ102" s="82">
        <f ca="1">IF(CI102&lt;TODAY(),TODAY(),CI102)</f>
        <v>43950</v>
      </c>
      <c r="CK102" s="703">
        <f t="shared" ca="1" si="317"/>
        <v>241</v>
      </c>
      <c r="CL102" s="341">
        <v>43771</v>
      </c>
      <c r="CM102" s="341">
        <f ca="1">IF(CL102&lt;TODAY(),TODAY(),CL102)</f>
        <v>43950</v>
      </c>
      <c r="CN102" s="343">
        <f t="shared" ca="1" si="318"/>
        <v>179</v>
      </c>
      <c r="CO102" s="341">
        <v>43862</v>
      </c>
      <c r="CP102" s="341">
        <f ca="1">IF(CO102&lt;TODAY(),TODAY(),CO102)</f>
        <v>43950</v>
      </c>
      <c r="CQ102" s="343">
        <f t="shared" ca="1" si="342"/>
        <v>88</v>
      </c>
      <c r="CR102" s="290"/>
      <c r="CS102" s="339">
        <v>43953</v>
      </c>
      <c r="CT102" s="330">
        <v>44045</v>
      </c>
      <c r="CU102" s="331"/>
      <c r="CV102" s="332" t="str">
        <f t="shared" si="337"/>
        <v>0</v>
      </c>
      <c r="CW102" s="330">
        <v>44075</v>
      </c>
      <c r="CX102" s="449">
        <v>44270</v>
      </c>
      <c r="CY102" s="233"/>
      <c r="CZ102" s="284">
        <f t="shared" si="327"/>
        <v>1475.6666666666667</v>
      </c>
      <c r="DA102" s="332">
        <f t="shared" si="293"/>
        <v>195</v>
      </c>
      <c r="DB102" s="450">
        <v>16</v>
      </c>
      <c r="DC102" s="169">
        <f t="shared" si="294"/>
        <v>19</v>
      </c>
      <c r="DD102" s="330"/>
      <c r="DE102" s="335">
        <f ca="1">IF(DD102&lt;TODAY(),TODAY(),DD102)</f>
        <v>43950</v>
      </c>
      <c r="DF102" s="332" t="str">
        <f t="shared" ca="1" si="319"/>
        <v>0</v>
      </c>
      <c r="DG102" s="330"/>
      <c r="DH102" s="348">
        <f ca="1">IF(DG102&lt;TODAY(),TODAY(),DG102)</f>
        <v>43950</v>
      </c>
      <c r="DI102" s="333" t="str">
        <f t="shared" ca="1" si="295"/>
        <v>0</v>
      </c>
      <c r="DJ102" s="334"/>
      <c r="DK102" s="348">
        <f ca="1">IF(DJ102&lt;TODAY(),TODAY(),DJ102)</f>
        <v>43950</v>
      </c>
      <c r="DL102" s="332" t="str">
        <f t="shared" ca="1" si="347"/>
        <v>0</v>
      </c>
      <c r="DM102" s="335"/>
      <c r="DN102" s="335">
        <f ca="1">IF(DM102&lt;TODAY(),TODAY(),DM102)</f>
        <v>43950</v>
      </c>
      <c r="DO102" s="332" t="str">
        <f t="shared" ca="1" si="296"/>
        <v>0</v>
      </c>
      <c r="DP102" s="336"/>
      <c r="DQ102" s="336"/>
      <c r="DR102" s="332" t="str">
        <f t="shared" si="297"/>
        <v>0</v>
      </c>
      <c r="DS102" s="335"/>
      <c r="DT102" s="335">
        <f ca="1">IF(DS102&lt;TODAY(),TODAY(),DS102)</f>
        <v>43950</v>
      </c>
      <c r="DU102" s="332" t="str">
        <f t="shared" ca="1" si="298"/>
        <v>0</v>
      </c>
      <c r="DV102" s="335"/>
      <c r="DW102" s="335">
        <f ca="1">IF(DV102&lt;TODAY(),TODAY(),DV102)</f>
        <v>43950</v>
      </c>
      <c r="DX102" s="332" t="str">
        <f t="shared" ca="1" si="299"/>
        <v>0</v>
      </c>
      <c r="DY102" s="335"/>
      <c r="DZ102" s="335"/>
      <c r="EA102" s="335"/>
      <c r="EB102" s="477">
        <f t="shared" si="350"/>
        <v>44757</v>
      </c>
      <c r="EC102" s="476">
        <f>DATE(YEAR(EB102),MONTH(EB102)+3,DAY(EB102))</f>
        <v>44849</v>
      </c>
      <c r="ED102" s="473">
        <f t="shared" si="343"/>
        <v>3.0666666666666669</v>
      </c>
      <c r="EE102" s="605">
        <f ca="1">IF(((EC102-TODAY())/30)&lt;0,0,(EC102-TODAY())/30)</f>
        <v>29.966666666666665</v>
      </c>
      <c r="EF102" s="476">
        <f ca="1">DATE(YEAR(DH102)+2,MONTH(DH102),DAY(DH102))</f>
        <v>44680</v>
      </c>
      <c r="EG102" s="535"/>
      <c r="EH102" s="526"/>
      <c r="EI102" s="536">
        <f>DATE(YEAR(EC102),MONTH(EC102)+4,DAY(EC102)+2)</f>
        <v>44974</v>
      </c>
      <c r="EJ102" s="295"/>
      <c r="EK102" s="534">
        <f t="shared" ref="EK102:EK110" si="363">DATE(YEAR(EB102),MONTH(EB102)+1,DAY(EB102))</f>
        <v>44788</v>
      </c>
      <c r="EL102" s="476">
        <f>DATE(YEAR(EC102),MONTH(EC102)+1,DAY(EC102))</f>
        <v>44880</v>
      </c>
      <c r="EM102" s="368"/>
      <c r="EN102" s="471">
        <f>(DATEDIF(EK102,EL102,"d"))/30</f>
        <v>3.0666666666666669</v>
      </c>
      <c r="EO102" s="461"/>
      <c r="EP102" s="173">
        <f t="shared" si="352"/>
        <v>0</v>
      </c>
      <c r="EQ102" s="77"/>
      <c r="ER102" s="353"/>
      <c r="ES102" s="353"/>
      <c r="ET102" s="353"/>
      <c r="EU102" s="353"/>
      <c r="EV102" s="353"/>
      <c r="EW102" s="483">
        <f t="shared" si="361"/>
        <v>0</v>
      </c>
      <c r="EX102" s="350"/>
      <c r="EY102" s="362"/>
      <c r="EZ102" s="350"/>
      <c r="FA102" s="362" t="s">
        <v>823</v>
      </c>
      <c r="FB102" s="126">
        <f t="shared" ca="1" si="321"/>
        <v>44680</v>
      </c>
      <c r="FC102" s="80"/>
      <c r="FD102" s="80"/>
      <c r="FE102" s="80"/>
      <c r="FF102" s="80"/>
      <c r="FG102" s="80"/>
      <c r="FH102" s="31"/>
      <c r="FI102" s="194">
        <f t="shared" si="351"/>
        <v>45214</v>
      </c>
      <c r="FJ102" s="194"/>
      <c r="FK102" s="31"/>
      <c r="FL102" s="31"/>
      <c r="FM102" s="31"/>
      <c r="FN102" s="31"/>
      <c r="FO102" s="31"/>
      <c r="FP102" s="31"/>
      <c r="FQ102" s="31"/>
      <c r="FR102" s="31"/>
      <c r="FS102" s="31"/>
      <c r="FT102" s="31"/>
      <c r="FU102" s="31"/>
      <c r="FV102" s="31"/>
      <c r="FW102" s="31"/>
      <c r="FX102" s="529"/>
      <c r="FY102" s="652">
        <f t="shared" si="344"/>
        <v>4499487.74</v>
      </c>
      <c r="FZ102" s="550">
        <f t="shared" si="264"/>
        <v>4499487.74</v>
      </c>
      <c r="GA102" s="45">
        <f t="shared" si="322"/>
        <v>4499487.74</v>
      </c>
      <c r="GB102" s="602">
        <f>GM102+GN102+GR102+GV102</f>
        <v>630000</v>
      </c>
      <c r="GC102" s="28">
        <f t="shared" si="345"/>
        <v>2399.7907890877091</v>
      </c>
      <c r="GD102" s="28">
        <f t="shared" si="353"/>
        <v>214261.32095238095</v>
      </c>
      <c r="GE102" s="45">
        <v>1409767.74</v>
      </c>
      <c r="GF102" s="417"/>
      <c r="GG102" s="28">
        <f t="shared" si="323"/>
        <v>67131.797142857147</v>
      </c>
      <c r="GH102" s="45">
        <f t="shared" si="362"/>
        <v>2459720</v>
      </c>
      <c r="GI102" s="59">
        <v>539806</v>
      </c>
      <c r="GJ102" s="59">
        <v>1919914</v>
      </c>
      <c r="GK102" s="407">
        <f t="shared" si="354"/>
        <v>117129.52380952382</v>
      </c>
      <c r="GL102" s="45"/>
      <c r="GM102" s="45">
        <v>630000</v>
      </c>
      <c r="GN102" s="45"/>
      <c r="GO102" s="23">
        <f t="shared" si="346"/>
        <v>0.14001593879217902</v>
      </c>
      <c r="GP102" s="45"/>
      <c r="GQ102" s="45"/>
      <c r="GR102" s="45"/>
      <c r="GS102" s="28">
        <f t="shared" si="300"/>
        <v>30000</v>
      </c>
      <c r="GT102" s="28">
        <f t="shared" si="301"/>
        <v>97131.797142857147</v>
      </c>
      <c r="GU102" s="682"/>
      <c r="GV102" s="682"/>
      <c r="GW102" s="680">
        <f>(GE102+GM102+GV102)/AD102</f>
        <v>97131.797142857147</v>
      </c>
      <c r="GX102" s="682"/>
      <c r="GY102" s="682">
        <f t="shared" si="302"/>
        <v>97131.797142857147</v>
      </c>
      <c r="GZ102" s="681">
        <f t="shared" si="324"/>
        <v>0.45333332545095451</v>
      </c>
      <c r="HA102" s="682"/>
      <c r="HB102" s="682"/>
      <c r="HC102" s="45"/>
      <c r="HD102" s="602">
        <v>31301</v>
      </c>
      <c r="HE102" s="608">
        <f t="shared" si="303"/>
        <v>6.9565696827523747E-3</v>
      </c>
      <c r="HF102" s="602">
        <f t="shared" si="304"/>
        <v>4468186.74</v>
      </c>
      <c r="HG102" s="602">
        <f ca="1">IF(EE102&lt;DATEDIF(TODAY(),$HG$1,"M"),HF102,(HF102/EE102*DATEDIF(TODAY(),$HG$1,"M")))*0+100000</f>
        <v>100000</v>
      </c>
      <c r="HH102" s="608">
        <f ca="1">(HD102+HG102)/FZ102</f>
        <v>2.9181321871987142E-2</v>
      </c>
      <c r="HI102" s="602"/>
      <c r="HJ102" s="602">
        <f t="shared" si="349"/>
        <v>630000</v>
      </c>
      <c r="HK102" s="602">
        <f t="shared" si="348"/>
        <v>0</v>
      </c>
      <c r="HL102" s="602"/>
      <c r="HM102" s="673"/>
      <c r="HN102" s="62"/>
      <c r="HO102" s="673"/>
      <c r="HP102" s="673">
        <f t="shared" ref="HP102:HP110" si="364">HQ102+HR102+HS102+HT102+HU102</f>
        <v>0</v>
      </c>
      <c r="HQ102" s="539"/>
      <c r="HR102" s="539"/>
      <c r="HS102" s="539"/>
      <c r="HT102" s="539"/>
      <c r="HU102" s="539"/>
      <c r="HV102" s="673"/>
      <c r="HW102" s="673">
        <f>HV102+HP102+HO102+HM102</f>
        <v>0</v>
      </c>
      <c r="HX102" s="539"/>
    </row>
    <row r="103" spans="1:232" ht="20.100000000000001" customHeight="1">
      <c r="A103" s="495" t="s">
        <v>866</v>
      </c>
      <c r="B103" s="31" t="s">
        <v>21</v>
      </c>
      <c r="C103" s="31" t="s">
        <v>90</v>
      </c>
      <c r="D103" s="31">
        <v>2020</v>
      </c>
      <c r="E103" s="31" t="s">
        <v>783</v>
      </c>
      <c r="F103" s="74"/>
      <c r="G103" s="74"/>
      <c r="H103" s="33" t="s">
        <v>569</v>
      </c>
      <c r="I103" s="31"/>
      <c r="J103" s="31" t="s">
        <v>697</v>
      </c>
      <c r="K103" s="180" t="s">
        <v>696</v>
      </c>
      <c r="L103" s="114"/>
      <c r="M103" s="115"/>
      <c r="N103" s="116"/>
      <c r="O103" s="142">
        <v>4330</v>
      </c>
      <c r="P103" s="142">
        <v>400000</v>
      </c>
      <c r="Q103" s="142">
        <v>400000</v>
      </c>
      <c r="R103" s="142">
        <f t="shared" si="355"/>
        <v>36363.63636363636</v>
      </c>
      <c r="S103" s="142">
        <f t="shared" si="356"/>
        <v>92.378752886836025</v>
      </c>
      <c r="T103" s="148">
        <f t="shared" si="357"/>
        <v>92.378752886836025</v>
      </c>
      <c r="U103" s="148">
        <f t="shared" si="358"/>
        <v>668.46036865589338</v>
      </c>
      <c r="V103" s="148">
        <f t="shared" si="359"/>
        <v>36363.63636363636</v>
      </c>
      <c r="W103" s="142">
        <f t="shared" si="360"/>
        <v>393.63636363636363</v>
      </c>
      <c r="X103" s="143"/>
      <c r="Y103" s="525">
        <f t="shared" si="290"/>
        <v>25.404157043879909</v>
      </c>
      <c r="Z103" s="143" t="s">
        <v>698</v>
      </c>
      <c r="AA103" s="143">
        <v>760</v>
      </c>
      <c r="AB103" s="144">
        <v>0.2</v>
      </c>
      <c r="AC103" s="31" t="s">
        <v>10</v>
      </c>
      <c r="AD103" s="493">
        <f t="shared" si="338"/>
        <v>11</v>
      </c>
      <c r="AE103" s="493">
        <f t="shared" si="291"/>
        <v>11</v>
      </c>
      <c r="AF103" s="42"/>
      <c r="AG103" s="31">
        <v>11</v>
      </c>
      <c r="AH103" s="42"/>
      <c r="AI103" s="42"/>
      <c r="AJ103" s="797">
        <v>467.54000000000008</v>
      </c>
      <c r="AK103" s="276">
        <v>598.39</v>
      </c>
      <c r="AL103" s="586">
        <f t="shared" si="339"/>
        <v>42.503636363636367</v>
      </c>
      <c r="AM103" s="35">
        <f t="shared" si="340"/>
        <v>54.399090909090908</v>
      </c>
      <c r="AN103" s="35"/>
      <c r="AO103" s="35"/>
      <c r="AP103" s="35"/>
      <c r="AQ103" s="53"/>
      <c r="AR103" s="53"/>
      <c r="AS103" s="53"/>
      <c r="AT103" s="53"/>
      <c r="AU103" s="53"/>
      <c r="AV103" s="35"/>
      <c r="AW103" s="51"/>
      <c r="AX103" s="53"/>
      <c r="AY103" s="35"/>
      <c r="AZ103" s="34" t="s">
        <v>398</v>
      </c>
      <c r="BA103" s="31" t="s">
        <v>98</v>
      </c>
      <c r="BB103" s="42"/>
      <c r="BC103" s="42"/>
      <c r="BD103" s="42"/>
      <c r="BE103" s="42"/>
      <c r="BF103" s="165" t="s">
        <v>860</v>
      </c>
      <c r="BG103" s="165"/>
      <c r="BH103" s="73">
        <v>43781</v>
      </c>
      <c r="BI103" s="126"/>
      <c r="BJ103" s="660"/>
      <c r="BK103" s="660"/>
      <c r="BL103" s="661"/>
      <c r="BM103" s="659">
        <f t="shared" si="341"/>
        <v>0</v>
      </c>
      <c r="BN103" s="578" t="s">
        <v>235</v>
      </c>
      <c r="BO103" s="110"/>
      <c r="BP103" s="139"/>
      <c r="BQ103" s="654">
        <f t="shared" si="325"/>
        <v>0</v>
      </c>
      <c r="BR103" s="638"/>
      <c r="BS103" s="110"/>
      <c r="BT103" s="110"/>
      <c r="BU103" s="202"/>
      <c r="BV103" s="201">
        <f t="shared" si="292"/>
        <v>731</v>
      </c>
      <c r="BW103" s="439"/>
      <c r="BX103" s="201" t="str">
        <f t="shared" si="311"/>
        <v>oui</v>
      </c>
      <c r="BY103" s="557">
        <f t="shared" si="312"/>
        <v>-1471.6333333333334</v>
      </c>
      <c r="BZ103" s="439">
        <f t="shared" si="313"/>
        <v>0</v>
      </c>
      <c r="CA103" s="439">
        <f t="shared" si="314"/>
        <v>0</v>
      </c>
      <c r="CB103" s="214">
        <v>43558</v>
      </c>
      <c r="CC103" s="81">
        <v>43573</v>
      </c>
      <c r="CD103" s="81">
        <v>43563</v>
      </c>
      <c r="CE103" s="326">
        <f t="shared" si="315"/>
        <v>-10</v>
      </c>
      <c r="CF103" s="81">
        <v>43615</v>
      </c>
      <c r="CG103" s="81">
        <v>43614</v>
      </c>
      <c r="CH103" s="326">
        <f t="shared" si="316"/>
        <v>-1</v>
      </c>
      <c r="CI103" s="214">
        <v>43709</v>
      </c>
      <c r="CJ103" s="82">
        <f ca="1">IF(CI103&lt;TODAY(),TODAY(),CI103)</f>
        <v>43950</v>
      </c>
      <c r="CK103" s="703">
        <f t="shared" ca="1" si="317"/>
        <v>241</v>
      </c>
      <c r="CL103" s="341">
        <v>43771</v>
      </c>
      <c r="CM103" s="341">
        <f ca="1">IF(CL103&lt;TODAY(),TODAY(),CL103)</f>
        <v>43950</v>
      </c>
      <c r="CN103" s="343">
        <f t="shared" ca="1" si="318"/>
        <v>179</v>
      </c>
      <c r="CO103" s="341">
        <v>43862</v>
      </c>
      <c r="CP103" s="341">
        <f ca="1">IF(CO103&lt;TODAY(),TODAY(),CO103)</f>
        <v>43950</v>
      </c>
      <c r="CQ103" s="343">
        <f t="shared" ca="1" si="342"/>
        <v>88</v>
      </c>
      <c r="CR103" s="290"/>
      <c r="CS103" s="339">
        <v>43953</v>
      </c>
      <c r="CT103" s="330">
        <v>44045</v>
      </c>
      <c r="CU103" s="331"/>
      <c r="CV103" s="332" t="str">
        <f t="shared" si="337"/>
        <v>0</v>
      </c>
      <c r="CW103" s="498">
        <v>44075</v>
      </c>
      <c r="CX103" s="449">
        <v>44270</v>
      </c>
      <c r="CY103" s="233"/>
      <c r="CZ103" s="284">
        <f t="shared" si="327"/>
        <v>1475.6666666666667</v>
      </c>
      <c r="DA103" s="332">
        <f t="shared" si="293"/>
        <v>195</v>
      </c>
      <c r="DB103" s="450">
        <v>16</v>
      </c>
      <c r="DC103" s="169">
        <f t="shared" si="294"/>
        <v>19</v>
      </c>
      <c r="DD103" s="330"/>
      <c r="DE103" s="335">
        <f ca="1">IF(DD103&lt;TODAY(),TODAY(),DD103)</f>
        <v>43950</v>
      </c>
      <c r="DF103" s="332" t="str">
        <f t="shared" ca="1" si="319"/>
        <v>0</v>
      </c>
      <c r="DG103" s="330"/>
      <c r="DH103" s="348">
        <f ca="1">IF(DG103&lt;TODAY(),TODAY(),DG103)</f>
        <v>43950</v>
      </c>
      <c r="DI103" s="333" t="str">
        <f t="shared" ca="1" si="295"/>
        <v>0</v>
      </c>
      <c r="DJ103" s="334"/>
      <c r="DK103" s="348">
        <f ca="1">IF(DJ103&lt;TODAY(),TODAY(),DJ103)</f>
        <v>43950</v>
      </c>
      <c r="DL103" s="332" t="str">
        <f t="shared" ca="1" si="347"/>
        <v>0</v>
      </c>
      <c r="DM103" s="335"/>
      <c r="DN103" s="335">
        <f ca="1">IF(DM103&lt;TODAY(),TODAY(),DM103)</f>
        <v>43950</v>
      </c>
      <c r="DO103" s="332" t="str">
        <f t="shared" ca="1" si="296"/>
        <v>0</v>
      </c>
      <c r="DP103" s="336"/>
      <c r="DQ103" s="336"/>
      <c r="DR103" s="332" t="str">
        <f t="shared" si="297"/>
        <v>0</v>
      </c>
      <c r="DS103" s="335"/>
      <c r="DT103" s="335">
        <f ca="1">IF(DS103&lt;TODAY(),TODAY(),DS103)</f>
        <v>43950</v>
      </c>
      <c r="DU103" s="332" t="str">
        <f t="shared" ca="1" si="298"/>
        <v>0</v>
      </c>
      <c r="DV103" s="335"/>
      <c r="DW103" s="335">
        <f ca="1">IF(DV103&lt;TODAY(),TODAY(),DV103)</f>
        <v>43950</v>
      </c>
      <c r="DX103" s="332" t="str">
        <f t="shared" ca="1" si="299"/>
        <v>0</v>
      </c>
      <c r="DY103" s="335"/>
      <c r="DZ103" s="335"/>
      <c r="EA103" s="335"/>
      <c r="EB103" s="477">
        <f t="shared" si="350"/>
        <v>44757</v>
      </c>
      <c r="EC103" s="476">
        <f>DATE(YEAR(EB103),MONTH(EB103)+3,DAY(EB103))</f>
        <v>44849</v>
      </c>
      <c r="ED103" s="473">
        <f t="shared" si="343"/>
        <v>3.0666666666666669</v>
      </c>
      <c r="EE103" s="605">
        <f ca="1">IF(((EC103-TODAY())/30)&lt;0,0,(EC103-TODAY())/30)</f>
        <v>29.966666666666665</v>
      </c>
      <c r="EF103" s="476">
        <f ca="1">DATE(YEAR(DH103)+2,MONTH(DH103),DAY(DH103))</f>
        <v>44680</v>
      </c>
      <c r="EG103" s="535"/>
      <c r="EH103" s="526"/>
      <c r="EI103" s="536">
        <f>DATE(YEAR(EC103),MONTH(EC103)+4,DAY(EC103)+2)</f>
        <v>44974</v>
      </c>
      <c r="EJ103" s="295"/>
      <c r="EK103" s="534">
        <f t="shared" si="363"/>
        <v>44788</v>
      </c>
      <c r="EL103" s="476">
        <f>DATE(YEAR(EC103),MONTH(EC103)+1,DAY(EC103))</f>
        <v>44880</v>
      </c>
      <c r="EM103" s="368"/>
      <c r="EN103" s="471">
        <f>(DATEDIF(EK103,EL103,"d"))/30</f>
        <v>3.0666666666666669</v>
      </c>
      <c r="EO103" s="461"/>
      <c r="EP103" s="173">
        <f t="shared" si="352"/>
        <v>0</v>
      </c>
      <c r="EQ103" s="77"/>
      <c r="ER103" s="353"/>
      <c r="ES103" s="353"/>
      <c r="ET103" s="353"/>
      <c r="EU103" s="353"/>
      <c r="EV103" s="353"/>
      <c r="EW103" s="483">
        <f t="shared" si="361"/>
        <v>0</v>
      </c>
      <c r="EX103" s="350"/>
      <c r="EY103" s="362"/>
      <c r="EZ103" s="350"/>
      <c r="FA103" s="362" t="s">
        <v>823</v>
      </c>
      <c r="FB103" s="126">
        <f t="shared" ca="1" si="321"/>
        <v>44680</v>
      </c>
      <c r="FC103" s="80"/>
      <c r="FD103" s="80"/>
      <c r="FE103" s="80"/>
      <c r="FF103" s="80"/>
      <c r="FG103" s="80"/>
      <c r="FH103" s="31"/>
      <c r="FI103" s="194">
        <f t="shared" si="351"/>
        <v>45214</v>
      </c>
      <c r="FJ103" s="194"/>
      <c r="FK103" s="31"/>
      <c r="FL103" s="31"/>
      <c r="FM103" s="31"/>
      <c r="FN103" s="31"/>
      <c r="FO103" s="31"/>
      <c r="FP103" s="31"/>
      <c r="FQ103" s="31"/>
      <c r="FR103" s="31"/>
      <c r="FS103" s="31"/>
      <c r="FT103" s="31"/>
      <c r="FU103" s="31"/>
      <c r="FV103" s="31"/>
      <c r="FW103" s="31"/>
      <c r="FX103" s="529"/>
      <c r="FY103" s="652">
        <f t="shared" si="344"/>
        <v>1464240</v>
      </c>
      <c r="FZ103" s="550">
        <f t="shared" si="264"/>
        <v>1464240</v>
      </c>
      <c r="GA103" s="45">
        <f t="shared" si="322"/>
        <v>1464240</v>
      </c>
      <c r="GB103" s="602">
        <f>GM103+GN103+GR103+GV103</f>
        <v>385000</v>
      </c>
      <c r="GC103" s="28">
        <f t="shared" si="345"/>
        <v>2446.9660255017629</v>
      </c>
      <c r="GD103" s="28">
        <f t="shared" si="353"/>
        <v>133112.72727272726</v>
      </c>
      <c r="GE103" s="45">
        <v>397523</v>
      </c>
      <c r="GF103" s="417"/>
      <c r="GG103" s="28">
        <f t="shared" si="323"/>
        <v>36138.454545454544</v>
      </c>
      <c r="GH103" s="45">
        <f t="shared" si="362"/>
        <v>681717</v>
      </c>
      <c r="GI103" s="59">
        <v>139738</v>
      </c>
      <c r="GJ103" s="59">
        <v>541979</v>
      </c>
      <c r="GK103" s="407">
        <f t="shared" si="354"/>
        <v>61974.272727272728</v>
      </c>
      <c r="GL103" s="45"/>
      <c r="GM103" s="45">
        <v>385000</v>
      </c>
      <c r="GN103" s="45"/>
      <c r="GO103" s="23">
        <f t="shared" si="346"/>
        <v>0.2629350379719172</v>
      </c>
      <c r="GP103" s="45"/>
      <c r="GQ103" s="45"/>
      <c r="GR103" s="45"/>
      <c r="GS103" s="28">
        <f t="shared" si="300"/>
        <v>35000</v>
      </c>
      <c r="GT103" s="28">
        <f t="shared" si="301"/>
        <v>71138.454545454544</v>
      </c>
      <c r="GU103" s="682"/>
      <c r="GV103" s="682"/>
      <c r="GW103" s="680">
        <f>(GE103+GM103+GV103)/AD103</f>
        <v>71138.454545454544</v>
      </c>
      <c r="GX103" s="682"/>
      <c r="GY103" s="682">
        <f t="shared" si="302"/>
        <v>71138.454545454544</v>
      </c>
      <c r="GZ103" s="681">
        <f t="shared" si="324"/>
        <v>0.53442263563350267</v>
      </c>
      <c r="HA103" s="682"/>
      <c r="HB103" s="682"/>
      <c r="HC103" s="45"/>
      <c r="HD103" s="602">
        <v>31301</v>
      </c>
      <c r="HE103" s="608">
        <f t="shared" si="303"/>
        <v>2.1376960061192156E-2</v>
      </c>
      <c r="HF103" s="602">
        <f t="shared" si="304"/>
        <v>1432939</v>
      </c>
      <c r="HG103" s="602">
        <f ca="1">IF(EE103&lt;DATEDIF(TODAY(),$HG$1,"M"),HF103,(HF103/EE103*DATEDIF(TODAY(),$HG$1,"M")))*0+100000</f>
        <v>100000</v>
      </c>
      <c r="HH103" s="608">
        <f ca="1">(HD103+HG103)/FZ103</f>
        <v>8.967177511883298E-2</v>
      </c>
      <c r="HI103" s="602"/>
      <c r="HJ103" s="602">
        <f t="shared" si="349"/>
        <v>385000</v>
      </c>
      <c r="HK103" s="602">
        <f t="shared" si="348"/>
        <v>0</v>
      </c>
      <c r="HL103" s="602"/>
      <c r="HM103" s="673"/>
      <c r="HN103" s="62"/>
      <c r="HO103" s="673"/>
      <c r="HP103" s="673">
        <f t="shared" si="364"/>
        <v>0</v>
      </c>
      <c r="HQ103" s="539"/>
      <c r="HR103" s="539"/>
      <c r="HS103" s="539"/>
      <c r="HT103" s="539"/>
      <c r="HU103" s="539"/>
      <c r="HV103" s="673"/>
      <c r="HW103" s="673">
        <f>HV103+HP103+HO103+HM103</f>
        <v>0</v>
      </c>
      <c r="HX103" s="539"/>
    </row>
    <row r="104" spans="1:232" ht="30" hidden="1" customHeight="1">
      <c r="A104" s="63" t="s">
        <v>905</v>
      </c>
      <c r="B104" s="32" t="s">
        <v>21</v>
      </c>
      <c r="C104" s="32" t="s">
        <v>90</v>
      </c>
      <c r="D104" s="32">
        <v>2014</v>
      </c>
      <c r="E104" s="32" t="s">
        <v>158</v>
      </c>
      <c r="F104" s="32"/>
      <c r="G104" s="220"/>
      <c r="H104" s="32" t="s">
        <v>187</v>
      </c>
      <c r="I104" s="32"/>
      <c r="J104" s="32"/>
      <c r="K104" s="141"/>
      <c r="L104" s="114"/>
      <c r="M104" s="115"/>
      <c r="N104" s="116"/>
      <c r="O104" s="147">
        <f>1032+357+882+400</f>
        <v>2671</v>
      </c>
      <c r="P104" s="147">
        <f>Q104</f>
        <v>637295</v>
      </c>
      <c r="Q104" s="147">
        <v>637295</v>
      </c>
      <c r="R104" s="142">
        <f t="shared" si="355"/>
        <v>13559.468085106382</v>
      </c>
      <c r="S104" s="147">
        <f t="shared" si="356"/>
        <v>238.5979034069637</v>
      </c>
      <c r="T104" s="148">
        <f t="shared" si="357"/>
        <v>238.5979034069637</v>
      </c>
      <c r="U104" s="148">
        <f t="shared" si="358"/>
        <v>166.56952430737061</v>
      </c>
      <c r="V104" s="148">
        <f t="shared" si="359"/>
        <v>13559.468085106382</v>
      </c>
      <c r="W104" s="142">
        <f t="shared" si="360"/>
        <v>56.829787234042556</v>
      </c>
      <c r="X104" s="149"/>
      <c r="Y104" s="524">
        <f t="shared" si="290"/>
        <v>175.96405840509172</v>
      </c>
      <c r="Z104" s="149" t="s">
        <v>147</v>
      </c>
      <c r="AA104" s="153">
        <v>512</v>
      </c>
      <c r="AB104" s="150"/>
      <c r="AC104" s="32" t="s">
        <v>10</v>
      </c>
      <c r="AD104" s="493">
        <f t="shared" si="338"/>
        <v>47</v>
      </c>
      <c r="AE104" s="493">
        <f t="shared" si="291"/>
        <v>47</v>
      </c>
      <c r="AF104" s="181"/>
      <c r="AG104" s="32">
        <v>47</v>
      </c>
      <c r="AH104" s="181"/>
      <c r="AI104" s="181"/>
      <c r="AJ104" s="796">
        <v>3318.5</v>
      </c>
      <c r="AK104" s="276">
        <v>3826</v>
      </c>
      <c r="AL104" s="586">
        <f t="shared" si="339"/>
        <v>70.606382978723403</v>
      </c>
      <c r="AM104" s="35">
        <f t="shared" si="340"/>
        <v>81.40425531914893</v>
      </c>
      <c r="AN104" s="35">
        <v>6.01</v>
      </c>
      <c r="AO104" s="35">
        <v>5.2</v>
      </c>
      <c r="AP104" s="35">
        <v>423.17</v>
      </c>
      <c r="AQ104" s="38"/>
      <c r="AR104" s="38"/>
      <c r="AS104" s="38"/>
      <c r="AT104" s="38"/>
      <c r="AU104" s="38"/>
      <c r="AV104" s="36"/>
      <c r="AW104" s="52">
        <v>0</v>
      </c>
      <c r="AX104" s="54">
        <f>AW104/O104</f>
        <v>0</v>
      </c>
      <c r="AY104" s="36">
        <v>4.5</v>
      </c>
      <c r="AZ104" s="34" t="s">
        <v>398</v>
      </c>
      <c r="BA104" s="32" t="s">
        <v>98</v>
      </c>
      <c r="BB104" s="38">
        <v>7250000</v>
      </c>
      <c r="BC104" s="504">
        <f>BB104/AJ104</f>
        <v>2184.7220129576617</v>
      </c>
      <c r="BD104" s="388">
        <f>BB104/AK104</f>
        <v>1894.929430214323</v>
      </c>
      <c r="BE104" s="392">
        <f>BB104/AD104</f>
        <v>154255.31914893616</v>
      </c>
      <c r="BF104" s="215">
        <v>41591</v>
      </c>
      <c r="BG104" s="215"/>
      <c r="BH104" s="215">
        <v>41771</v>
      </c>
      <c r="BI104" s="215"/>
      <c r="BJ104" s="660">
        <v>41728</v>
      </c>
      <c r="BK104" s="660">
        <v>41800</v>
      </c>
      <c r="BL104" s="661"/>
      <c r="BM104" s="659">
        <f t="shared" si="341"/>
        <v>2.4</v>
      </c>
      <c r="BN104" s="578"/>
      <c r="BO104" s="110">
        <v>41989</v>
      </c>
      <c r="BP104" s="139">
        <v>41990</v>
      </c>
      <c r="BQ104" s="654">
        <f t="shared" si="325"/>
        <v>3.3333333333333333E-2</v>
      </c>
      <c r="BR104" s="139"/>
      <c r="BS104" s="110">
        <v>42080</v>
      </c>
      <c r="BT104" s="110" t="s">
        <v>105</v>
      </c>
      <c r="BU104" s="202">
        <v>42095</v>
      </c>
      <c r="BV104" s="201">
        <f t="shared" si="292"/>
        <v>42826</v>
      </c>
      <c r="BW104" s="439">
        <f>31116+82675</f>
        <v>113791</v>
      </c>
      <c r="BX104" s="201" t="str">
        <f t="shared" si="311"/>
        <v>non</v>
      </c>
      <c r="BY104" s="557">
        <f t="shared" si="312"/>
        <v>4.8</v>
      </c>
      <c r="BZ104" s="439">
        <f t="shared" si="313"/>
        <v>98144.377355732388</v>
      </c>
      <c r="CA104" s="439">
        <f t="shared" si="314"/>
        <v>15646.622644267612</v>
      </c>
      <c r="CB104" s="81"/>
      <c r="CC104" s="81"/>
      <c r="CD104" s="81"/>
      <c r="CE104" s="326" t="str">
        <f t="shared" si="315"/>
        <v>0</v>
      </c>
      <c r="CF104" s="81"/>
      <c r="CG104" s="81"/>
      <c r="CH104" s="326" t="str">
        <f t="shared" si="316"/>
        <v>0</v>
      </c>
      <c r="CI104" s="81"/>
      <c r="CJ104" s="81"/>
      <c r="CK104" s="326" t="str">
        <f t="shared" si="317"/>
        <v>0</v>
      </c>
      <c r="CL104" s="81"/>
      <c r="CM104" s="81"/>
      <c r="CN104" s="326" t="str">
        <f t="shared" si="318"/>
        <v>0</v>
      </c>
      <c r="CO104" s="83"/>
      <c r="CP104" s="365"/>
      <c r="CQ104" s="326" t="str">
        <f t="shared" si="342"/>
        <v>0</v>
      </c>
      <c r="CR104" s="292"/>
      <c r="CS104" s="159"/>
      <c r="CT104" s="81"/>
      <c r="CU104" s="159"/>
      <c r="CV104" s="326" t="str">
        <f t="shared" si="337"/>
        <v>0</v>
      </c>
      <c r="CW104" s="363"/>
      <c r="CX104" s="236">
        <v>42037</v>
      </c>
      <c r="CY104" s="232">
        <v>2015</v>
      </c>
      <c r="CZ104" s="286">
        <f t="shared" si="327"/>
        <v>7.9</v>
      </c>
      <c r="DA104" s="326" t="str">
        <f t="shared" si="293"/>
        <v>0</v>
      </c>
      <c r="DB104" s="168">
        <v>18</v>
      </c>
      <c r="DC104" s="76">
        <f t="shared" si="294"/>
        <v>20</v>
      </c>
      <c r="DD104" s="81"/>
      <c r="DE104" s="159"/>
      <c r="DF104" s="326" t="str">
        <f t="shared" si="319"/>
        <v>0</v>
      </c>
      <c r="DG104" s="81"/>
      <c r="DH104" s="363"/>
      <c r="DI104" s="329" t="str">
        <f t="shared" si="295"/>
        <v>0</v>
      </c>
      <c r="DJ104" s="83"/>
      <c r="DK104" s="395"/>
      <c r="DL104" s="326" t="str">
        <f t="shared" si="347"/>
        <v>0</v>
      </c>
      <c r="DM104" s="81"/>
      <c r="DN104" s="81"/>
      <c r="DO104" s="326" t="str">
        <f t="shared" si="296"/>
        <v>0</v>
      </c>
      <c r="DP104" s="81"/>
      <c r="DQ104" s="81"/>
      <c r="DR104" s="326" t="str">
        <f t="shared" si="297"/>
        <v>0</v>
      </c>
      <c r="DS104" s="81"/>
      <c r="DT104" s="81"/>
      <c r="DU104" s="326" t="str">
        <f t="shared" si="298"/>
        <v>0</v>
      </c>
      <c r="DV104" s="81"/>
      <c r="DW104" s="81"/>
      <c r="DX104" s="326" t="str">
        <f t="shared" si="299"/>
        <v>0</v>
      </c>
      <c r="DY104" s="81"/>
      <c r="DZ104" s="81"/>
      <c r="EA104" s="81"/>
      <c r="EB104" s="367">
        <f t="shared" si="350"/>
        <v>42584</v>
      </c>
      <c r="EC104" s="236">
        <v>42674</v>
      </c>
      <c r="ED104" s="468">
        <f t="shared" si="343"/>
        <v>3</v>
      </c>
      <c r="EE104" s="752"/>
      <c r="EF104" s="804"/>
      <c r="EG104" s="167">
        <v>42657</v>
      </c>
      <c r="EH104" s="75">
        <v>42591</v>
      </c>
      <c r="EI104" s="754"/>
      <c r="EJ104" s="293"/>
      <c r="EK104" s="533">
        <f t="shared" si="363"/>
        <v>42615</v>
      </c>
      <c r="EL104" s="384">
        <v>42682</v>
      </c>
      <c r="EM104" s="232">
        <v>2016</v>
      </c>
      <c r="EN104" s="464">
        <f>(DATEDIF(EK104,EL104,"d"))/30</f>
        <v>2.2333333333333334</v>
      </c>
      <c r="EO104" s="455">
        <f>245360.943389331/12</f>
        <v>20446.745282444248</v>
      </c>
      <c r="EP104" s="213">
        <f t="shared" si="352"/>
        <v>45664.39779745882</v>
      </c>
      <c r="EQ104" s="214" t="s">
        <v>105</v>
      </c>
      <c r="ER104" s="349"/>
      <c r="ES104" s="454">
        <f>HC104</f>
        <v>0</v>
      </c>
      <c r="ET104" s="353"/>
      <c r="EU104" s="353"/>
      <c r="EV104" s="353">
        <v>0</v>
      </c>
      <c r="EW104" s="483">
        <f t="shared" si="361"/>
        <v>0</v>
      </c>
      <c r="EX104" s="350"/>
      <c r="EY104" s="362"/>
      <c r="EZ104" s="350"/>
      <c r="FA104" s="350"/>
      <c r="FB104" s="126">
        <f t="shared" si="321"/>
        <v>731</v>
      </c>
      <c r="FC104" s="78"/>
      <c r="FD104" s="218">
        <v>42727</v>
      </c>
      <c r="FE104" s="163"/>
      <c r="FF104" s="163" t="s">
        <v>389</v>
      </c>
      <c r="FG104" s="163" t="s">
        <v>105</v>
      </c>
      <c r="FH104" s="163"/>
      <c r="FI104" s="81">
        <f t="shared" si="351"/>
        <v>43039</v>
      </c>
      <c r="FJ104" s="442">
        <v>27200</v>
      </c>
      <c r="FK104" s="167">
        <v>42710</v>
      </c>
      <c r="FL104" s="167">
        <v>42779</v>
      </c>
      <c r="FM104" s="167"/>
      <c r="FN104" s="32"/>
      <c r="FO104" s="32"/>
      <c r="FP104" s="733"/>
      <c r="FQ104" s="220" t="s">
        <v>133</v>
      </c>
      <c r="FR104" s="220"/>
      <c r="FS104" s="734" t="s">
        <v>413</v>
      </c>
      <c r="FT104" s="161">
        <v>42808</v>
      </c>
      <c r="FU104" s="161" t="s">
        <v>105</v>
      </c>
      <c r="FV104" s="81" t="s">
        <v>105</v>
      </c>
      <c r="FW104" s="32"/>
      <c r="FX104" s="388"/>
      <c r="FY104" s="652">
        <f t="shared" si="344"/>
        <v>7893608.4299999997</v>
      </c>
      <c r="FZ104" s="550">
        <f t="shared" ref="FZ104:FZ135" si="365">GE104+GH104+GM104+HC104+GL104+GR104+GP104+GQ104</f>
        <v>7893608.4299999997</v>
      </c>
      <c r="GA104" s="500">
        <f t="shared" si="322"/>
        <v>7893608.4299999997</v>
      </c>
      <c r="GB104" s="610">
        <f>GM104+GN104+GR104</f>
        <v>1118000</v>
      </c>
      <c r="GC104" s="28">
        <f t="shared" si="345"/>
        <v>2063.1490930475693</v>
      </c>
      <c r="GD104" s="28">
        <f t="shared" si="353"/>
        <v>167949.1155319149</v>
      </c>
      <c r="GE104" s="49">
        <v>2234701</v>
      </c>
      <c r="GF104" s="417"/>
      <c r="GG104" s="28">
        <f t="shared" si="323"/>
        <v>47546.829787234041</v>
      </c>
      <c r="GH104" s="49">
        <f t="shared" si="362"/>
        <v>4540907.43</v>
      </c>
      <c r="GI104" s="198">
        <v>1362272</v>
      </c>
      <c r="GJ104" s="198">
        <v>3178635.43</v>
      </c>
      <c r="GK104" s="407">
        <f t="shared" si="354"/>
        <v>96615.051702127646</v>
      </c>
      <c r="GL104" s="49">
        <v>0</v>
      </c>
      <c r="GM104" s="49">
        <v>1118000</v>
      </c>
      <c r="GN104" s="49">
        <v>0</v>
      </c>
      <c r="GO104" s="23">
        <f t="shared" si="346"/>
        <v>0.1416335773321353</v>
      </c>
      <c r="GP104" s="576"/>
      <c r="GQ104" s="576"/>
      <c r="GR104" s="49">
        <v>0</v>
      </c>
      <c r="GS104" s="56">
        <f t="shared" si="300"/>
        <v>23787.234042553191</v>
      </c>
      <c r="GT104" s="56">
        <f t="shared" si="301"/>
        <v>71334.063829787236</v>
      </c>
      <c r="GU104" s="685">
        <v>0</v>
      </c>
      <c r="GV104" s="685">
        <v>0</v>
      </c>
      <c r="GW104" s="684" t="e">
        <f>(#REF!+#REF!+GV104)/AD104</f>
        <v>#REF!</v>
      </c>
      <c r="GX104" s="685">
        <v>0</v>
      </c>
      <c r="GY104" s="685">
        <f t="shared" si="302"/>
        <v>71334.063829787236</v>
      </c>
      <c r="GZ104" s="681">
        <f t="shared" si="324"/>
        <v>0.42473616847497969</v>
      </c>
      <c r="HA104" s="685">
        <v>0</v>
      </c>
      <c r="HB104" s="685"/>
      <c r="HC104" s="49">
        <v>0</v>
      </c>
      <c r="HD104" s="603"/>
      <c r="HE104" s="608">
        <f t="shared" si="303"/>
        <v>0</v>
      </c>
      <c r="HF104" s="616">
        <f t="shared" si="304"/>
        <v>7893608.4299999997</v>
      </c>
      <c r="HG104" s="602">
        <f ca="1">IF(EE104&lt;DATEDIF(TODAY(),$HG$1,"M"),HF104,(HF104/EE104*DATEDIF(TODAY(),$HG$1,"M")))</f>
        <v>7893608.4299999997</v>
      </c>
      <c r="HH104" s="602"/>
      <c r="HI104" s="603"/>
      <c r="HJ104" s="602">
        <f t="shared" si="349"/>
        <v>1118000</v>
      </c>
      <c r="HK104" s="609">
        <f t="shared" si="348"/>
        <v>0</v>
      </c>
      <c r="HL104" s="609"/>
      <c r="HM104" s="673"/>
      <c r="HN104" s="62"/>
      <c r="HO104" s="673"/>
      <c r="HP104" s="673">
        <f t="shared" si="364"/>
        <v>0</v>
      </c>
      <c r="HQ104" s="539"/>
      <c r="HR104" s="539"/>
      <c r="HS104" s="539"/>
      <c r="HT104" s="539"/>
      <c r="HU104" s="539"/>
      <c r="HV104" s="673"/>
      <c r="HW104" s="673">
        <f>HV104+HP104+HO104+HM104</f>
        <v>0</v>
      </c>
      <c r="HX104" s="539"/>
    </row>
    <row r="105" spans="1:232" ht="29.25" customHeight="1">
      <c r="A105" s="58" t="s">
        <v>908</v>
      </c>
      <c r="B105" s="31" t="s">
        <v>21</v>
      </c>
      <c r="C105" s="31"/>
      <c r="D105" s="31">
        <v>2020</v>
      </c>
      <c r="E105" s="31" t="s">
        <v>878</v>
      </c>
      <c r="F105" s="74"/>
      <c r="G105" s="74"/>
      <c r="H105" s="31" t="s">
        <v>890</v>
      </c>
      <c r="I105" s="31"/>
      <c r="J105" s="31"/>
      <c r="K105" s="180"/>
      <c r="L105" s="114"/>
      <c r="M105" s="115"/>
      <c r="N105" s="116"/>
      <c r="O105" s="142"/>
      <c r="P105" s="142"/>
      <c r="Q105" s="142"/>
      <c r="R105" s="142">
        <f t="shared" si="355"/>
        <v>0</v>
      </c>
      <c r="S105" s="142" t="e">
        <f t="shared" si="356"/>
        <v>#DIV/0!</v>
      </c>
      <c r="T105" s="148" t="e">
        <f t="shared" si="357"/>
        <v>#DIV/0!</v>
      </c>
      <c r="U105" s="148">
        <f t="shared" si="358"/>
        <v>0</v>
      </c>
      <c r="V105" s="148">
        <f t="shared" si="359"/>
        <v>0</v>
      </c>
      <c r="W105" s="142">
        <f t="shared" si="360"/>
        <v>0</v>
      </c>
      <c r="X105" s="143"/>
      <c r="Y105" s="525" t="e">
        <f t="shared" si="290"/>
        <v>#DIV/0!</v>
      </c>
      <c r="Z105" s="143"/>
      <c r="AA105" s="143"/>
      <c r="AB105" s="144"/>
      <c r="AC105" s="31" t="s">
        <v>9</v>
      </c>
      <c r="AD105" s="493">
        <f t="shared" si="338"/>
        <v>53</v>
      </c>
      <c r="AE105" s="493">
        <f t="shared" si="291"/>
        <v>53</v>
      </c>
      <c r="AF105" s="42"/>
      <c r="AG105" s="31">
        <v>53</v>
      </c>
      <c r="AH105" s="42"/>
      <c r="AI105" s="428"/>
      <c r="AJ105" s="796">
        <v>4076.6</v>
      </c>
      <c r="AK105" s="276">
        <v>4590.68</v>
      </c>
      <c r="AL105" s="586">
        <f t="shared" si="339"/>
        <v>76.916981132075463</v>
      </c>
      <c r="AM105" s="35">
        <f t="shared" si="340"/>
        <v>86.616603773584913</v>
      </c>
      <c r="AN105" s="35"/>
      <c r="AO105" s="35"/>
      <c r="AP105" s="35"/>
      <c r="AQ105" s="53"/>
      <c r="AR105" s="53"/>
      <c r="AS105" s="53"/>
      <c r="AT105" s="53"/>
      <c r="AU105" s="53"/>
      <c r="AV105" s="35"/>
      <c r="AW105" s="51"/>
      <c r="AX105" s="53"/>
      <c r="AY105" s="35"/>
      <c r="AZ105" s="31"/>
      <c r="BA105" s="31"/>
      <c r="BB105" s="160">
        <v>10202184.244999999</v>
      </c>
      <c r="BC105" s="504">
        <f>BB105/AJ105</f>
        <v>2502.6208715596331</v>
      </c>
      <c r="BD105" s="388">
        <f>BB105/AK105</f>
        <v>2222.3688527625532</v>
      </c>
      <c r="BE105" s="392">
        <f>BB105/AD105</f>
        <v>192494.04235849055</v>
      </c>
      <c r="BF105" s="381" t="s">
        <v>873</v>
      </c>
      <c r="BG105" s="381"/>
      <c r="BH105" s="73">
        <v>43816</v>
      </c>
      <c r="BI105" s="126"/>
      <c r="BJ105" s="660"/>
      <c r="BK105" s="660"/>
      <c r="BL105" s="661"/>
      <c r="BM105" s="659">
        <f t="shared" si="341"/>
        <v>0</v>
      </c>
      <c r="BN105" s="578" t="s">
        <v>235</v>
      </c>
      <c r="BO105" s="110"/>
      <c r="BP105" s="139"/>
      <c r="BQ105" s="654">
        <f t="shared" si="325"/>
        <v>0</v>
      </c>
      <c r="BR105" s="638"/>
      <c r="BS105" s="110"/>
      <c r="BT105" s="110"/>
      <c r="BU105" s="202"/>
      <c r="BV105" s="201">
        <f t="shared" si="292"/>
        <v>731</v>
      </c>
      <c r="BW105" s="439"/>
      <c r="BX105" s="201" t="str">
        <f t="shared" si="311"/>
        <v>oui</v>
      </c>
      <c r="BY105" s="557">
        <f t="shared" si="312"/>
        <v>-1471.8</v>
      </c>
      <c r="BZ105" s="439">
        <f t="shared" si="313"/>
        <v>0</v>
      </c>
      <c r="CA105" s="439">
        <f t="shared" si="314"/>
        <v>0</v>
      </c>
      <c r="CB105" s="214"/>
      <c r="CC105" s="81"/>
      <c r="CD105" s="81"/>
      <c r="CE105" s="326"/>
      <c r="CF105" s="81"/>
      <c r="CG105" s="81"/>
      <c r="CH105" s="326"/>
      <c r="CI105" s="341"/>
      <c r="CJ105" s="341"/>
      <c r="CK105" s="343"/>
      <c r="CL105" s="341"/>
      <c r="CM105" s="341"/>
      <c r="CN105" s="343"/>
      <c r="CO105" s="341"/>
      <c r="CP105" s="341"/>
      <c r="CQ105" s="343" t="str">
        <f t="shared" si="342"/>
        <v>0</v>
      </c>
      <c r="CR105" s="290"/>
      <c r="CS105" s="339"/>
      <c r="CT105" s="330"/>
      <c r="CU105" s="335"/>
      <c r="CV105" s="332" t="str">
        <f t="shared" si="337"/>
        <v>0</v>
      </c>
      <c r="CW105" s="498"/>
      <c r="CX105" s="449">
        <v>44275</v>
      </c>
      <c r="CY105" s="667"/>
      <c r="CZ105" s="284">
        <f t="shared" si="327"/>
        <v>1475.8333333333333</v>
      </c>
      <c r="DA105" s="332" t="str">
        <f t="shared" si="293"/>
        <v>0</v>
      </c>
      <c r="DB105" s="450">
        <v>16</v>
      </c>
      <c r="DC105" s="169">
        <f t="shared" si="294"/>
        <v>19</v>
      </c>
      <c r="DD105" s="330"/>
      <c r="DE105" s="335">
        <f t="shared" ref="DE105:DE133" ca="1" si="366">IF(DD105&lt;TODAY(),TODAY(),DD105)</f>
        <v>43950</v>
      </c>
      <c r="DF105" s="332" t="str">
        <f t="shared" ca="1" si="319"/>
        <v>0</v>
      </c>
      <c r="DG105" s="330"/>
      <c r="DH105" s="348">
        <f t="shared" ref="DH105:DH133" ca="1" si="367">IF(DG105&lt;TODAY(),TODAY(),DG105)</f>
        <v>43950</v>
      </c>
      <c r="DI105" s="333" t="str">
        <f t="shared" ca="1" si="295"/>
        <v>0</v>
      </c>
      <c r="DJ105" s="334"/>
      <c r="DK105" s="348">
        <f t="shared" ref="DK105:DK133" ca="1" si="368">IF(DJ105&lt;TODAY(),TODAY(),DJ105)</f>
        <v>43950</v>
      </c>
      <c r="DL105" s="332" t="str">
        <f t="shared" ca="1" si="347"/>
        <v>0</v>
      </c>
      <c r="DM105" s="335"/>
      <c r="DN105" s="335">
        <f t="shared" ref="DN105:DN133" ca="1" si="369">IF(DM105&lt;TODAY(),TODAY(),DM105)</f>
        <v>43950</v>
      </c>
      <c r="DO105" s="332" t="str">
        <f t="shared" ca="1" si="296"/>
        <v>0</v>
      </c>
      <c r="DP105" s="336"/>
      <c r="DQ105" s="336"/>
      <c r="DR105" s="332" t="str">
        <f t="shared" si="297"/>
        <v>0</v>
      </c>
      <c r="DS105" s="335"/>
      <c r="DT105" s="335">
        <f t="shared" ref="DT105:DT133" ca="1" si="370">IF(DS105&lt;TODAY(),TODAY(),DS105)</f>
        <v>43950</v>
      </c>
      <c r="DU105" s="332" t="str">
        <f t="shared" ca="1" si="298"/>
        <v>0</v>
      </c>
      <c r="DV105" s="335"/>
      <c r="DW105" s="335">
        <f t="shared" ref="DW105:DW133" ca="1" si="371">IF(DV105&lt;TODAY(),TODAY(),DV105)</f>
        <v>43950</v>
      </c>
      <c r="DX105" s="332" t="str">
        <f t="shared" ca="1" si="299"/>
        <v>0</v>
      </c>
      <c r="DY105" s="336"/>
      <c r="DZ105" s="336"/>
      <c r="EA105" s="336"/>
      <c r="EB105" s="477">
        <f t="shared" si="350"/>
        <v>44762</v>
      </c>
      <c r="EC105" s="476">
        <f>DATE(YEAR(EB105),MONTH(EB105)+3,DAY(EB105))</f>
        <v>44854</v>
      </c>
      <c r="ED105" s="473">
        <f t="shared" si="343"/>
        <v>3.0666666666666669</v>
      </c>
      <c r="EE105" s="605">
        <f t="shared" ref="EE105:EE133" ca="1" si="372">IF(((EC105-TODAY())/30)&lt;0,0,(EC105-TODAY())/30)</f>
        <v>30.133333333333333</v>
      </c>
      <c r="EF105" s="476">
        <f t="shared" ref="EF105:EF133" ca="1" si="373">DATE(YEAR(DH105)+2,MONTH(DH105),DAY(DH105))</f>
        <v>44680</v>
      </c>
      <c r="EG105" s="535"/>
      <c r="EH105" s="526"/>
      <c r="EI105" s="536">
        <f t="shared" ref="EI105:EI111" si="374">DATE(YEAR(EC105),MONTH(EC105)+4,DAY(EC105)+2)</f>
        <v>44979</v>
      </c>
      <c r="EJ105" s="295"/>
      <c r="EK105" s="534">
        <f t="shared" si="363"/>
        <v>44793</v>
      </c>
      <c r="EL105" s="476">
        <f t="shared" ref="EL105:EL133" si="375">DATE(YEAR(EC105),MONTH(EC105)+1,DAY(EC105))</f>
        <v>44885</v>
      </c>
      <c r="EM105" s="368"/>
      <c r="EN105" s="471">
        <f t="shared" ref="EN105:EN111" si="376">(EL105-EK105)/30</f>
        <v>3.0666666666666669</v>
      </c>
      <c r="EO105" s="461"/>
      <c r="EP105" s="173">
        <f t="shared" si="352"/>
        <v>0</v>
      </c>
      <c r="EQ105" s="77"/>
      <c r="ER105" s="353"/>
      <c r="ES105" s="353"/>
      <c r="ET105" s="353"/>
      <c r="EU105" s="353"/>
      <c r="EV105" s="353"/>
      <c r="EW105" s="483">
        <f t="shared" si="361"/>
        <v>0</v>
      </c>
      <c r="EX105" s="350"/>
      <c r="EY105" s="362"/>
      <c r="EZ105" s="350"/>
      <c r="FA105" s="350" t="s">
        <v>818</v>
      </c>
      <c r="FB105" s="126">
        <f t="shared" ca="1" si="321"/>
        <v>44680</v>
      </c>
      <c r="FC105" s="80"/>
      <c r="FD105" s="80"/>
      <c r="FE105" s="80"/>
      <c r="FF105" s="80"/>
      <c r="FG105" s="80"/>
      <c r="FH105" s="31"/>
      <c r="FI105" s="194">
        <f t="shared" si="351"/>
        <v>45219</v>
      </c>
      <c r="FJ105" s="194"/>
      <c r="FK105" s="31"/>
      <c r="FL105" s="31"/>
      <c r="FM105" s="31"/>
      <c r="FN105" s="31"/>
      <c r="FO105" s="31"/>
      <c r="FP105" s="31"/>
      <c r="FQ105" s="31"/>
      <c r="FR105" s="31"/>
      <c r="FS105" s="31"/>
      <c r="FT105" s="31"/>
      <c r="FU105" s="31"/>
      <c r="FV105" s="31"/>
      <c r="FW105" s="31"/>
      <c r="FX105" s="529"/>
      <c r="FY105" s="652">
        <f t="shared" si="344"/>
        <v>10643834.45828877</v>
      </c>
      <c r="FZ105" s="550">
        <f t="shared" si="365"/>
        <v>10643834.45828877</v>
      </c>
      <c r="GA105" s="45">
        <f t="shared" si="322"/>
        <v>10643834.45828877</v>
      </c>
      <c r="GB105" s="602">
        <f t="shared" ref="GB105:GB111" si="377">GM105+GN105+GR105+GV105</f>
        <v>1431000</v>
      </c>
      <c r="GC105" s="28">
        <f t="shared" si="345"/>
        <v>2318.5746900870395</v>
      </c>
      <c r="GD105" s="28">
        <f t="shared" si="353"/>
        <v>200827.06525073151</v>
      </c>
      <c r="GE105" s="45">
        <v>3276478.829738684</v>
      </c>
      <c r="GF105" s="417"/>
      <c r="GG105" s="28">
        <f t="shared" si="323"/>
        <v>61820.355278088377</v>
      </c>
      <c r="GH105" s="45">
        <f t="shared" si="362"/>
        <v>5936355.6285500852</v>
      </c>
      <c r="GI105" s="59">
        <v>1187271.1257100173</v>
      </c>
      <c r="GJ105" s="59">
        <v>4749084.5028400682</v>
      </c>
      <c r="GK105" s="407">
        <f t="shared" si="354"/>
        <v>112006.70997264312</v>
      </c>
      <c r="GL105" s="45"/>
      <c r="GM105" s="45">
        <v>1431000</v>
      </c>
      <c r="GN105" s="45"/>
      <c r="GO105" s="23">
        <f t="shared" si="346"/>
        <v>0.13444403007279246</v>
      </c>
      <c r="GP105" s="45"/>
      <c r="GQ105" s="45"/>
      <c r="GR105" s="45"/>
      <c r="GS105" s="28">
        <f t="shared" si="300"/>
        <v>27000</v>
      </c>
      <c r="GT105" s="28">
        <f t="shared" si="301"/>
        <v>88820.355278088377</v>
      </c>
      <c r="GU105" s="682"/>
      <c r="GV105" s="682"/>
      <c r="GW105" s="680">
        <f t="shared" ref="GW105:GW120" si="378">(GE105+GM105+GV105)/AD105</f>
        <v>88820.355278088377</v>
      </c>
      <c r="GX105" s="682"/>
      <c r="GY105" s="682">
        <f t="shared" si="302"/>
        <v>88820.355278088377</v>
      </c>
      <c r="GZ105" s="681">
        <f t="shared" si="324"/>
        <v>0.44227283392901567</v>
      </c>
      <c r="HA105" s="682"/>
      <c r="HB105" s="682"/>
      <c r="HC105" s="45"/>
      <c r="HD105" s="602"/>
      <c r="HE105" s="608">
        <f t="shared" si="303"/>
        <v>0</v>
      </c>
      <c r="HF105" s="602">
        <f t="shared" si="304"/>
        <v>10643834.45828877</v>
      </c>
      <c r="HG105" s="602">
        <f ca="1">IF(EE105&lt;DATEDIF(TODAY(),$HG$1,"M"),HF105,(HF105/EE105*DATEDIF(TODAY(),$HG$1,"M")))*0+100000</f>
        <v>100000</v>
      </c>
      <c r="HH105" s="608">
        <f t="shared" ref="HH105:HH111" ca="1" si="379">(HD105+HG105)/FZ105</f>
        <v>9.3951104173859157E-3</v>
      </c>
      <c r="HI105" s="602"/>
      <c r="HJ105" s="602">
        <f t="shared" si="349"/>
        <v>1431000</v>
      </c>
      <c r="HK105" s="602">
        <f t="shared" si="348"/>
        <v>0</v>
      </c>
      <c r="HL105" s="602"/>
      <c r="HM105" s="673"/>
      <c r="HN105" s="62"/>
      <c r="HO105" s="673"/>
      <c r="HP105" s="673">
        <f t="shared" si="364"/>
        <v>0</v>
      </c>
      <c r="HQ105" s="539"/>
      <c r="HR105" s="539"/>
      <c r="HS105" s="539"/>
      <c r="HT105" s="539"/>
      <c r="HU105" s="539"/>
      <c r="HV105" s="673"/>
      <c r="HW105" s="673"/>
      <c r="HX105" s="539"/>
    </row>
    <row r="106" spans="1:232" ht="15" customHeight="1">
      <c r="A106" s="58" t="s">
        <v>912</v>
      </c>
      <c r="B106" s="31" t="s">
        <v>21</v>
      </c>
      <c r="C106" s="31" t="s">
        <v>90</v>
      </c>
      <c r="D106" s="31">
        <v>2020</v>
      </c>
      <c r="E106" s="31" t="s">
        <v>878</v>
      </c>
      <c r="F106" s="31" t="s">
        <v>709</v>
      </c>
      <c r="G106" s="31" t="s">
        <v>605</v>
      </c>
      <c r="H106" s="31" t="s">
        <v>890</v>
      </c>
      <c r="I106" s="31"/>
      <c r="J106" s="31" t="s">
        <v>721</v>
      </c>
      <c r="K106" s="180"/>
      <c r="L106" s="114"/>
      <c r="M106" s="115"/>
      <c r="N106" s="116"/>
      <c r="O106" s="142">
        <v>14000</v>
      </c>
      <c r="P106" s="142">
        <v>894200</v>
      </c>
      <c r="Q106" s="142">
        <v>894200</v>
      </c>
      <c r="R106" s="142">
        <f t="shared" si="355"/>
        <v>35768</v>
      </c>
      <c r="S106" s="142">
        <f t="shared" si="356"/>
        <v>63.871428571428574</v>
      </c>
      <c r="T106" s="148">
        <f t="shared" si="357"/>
        <v>63.871428571428574</v>
      </c>
      <c r="U106" s="148">
        <f t="shared" si="358"/>
        <v>604.70809410778168</v>
      </c>
      <c r="V106" s="148">
        <f t="shared" si="359"/>
        <v>35768</v>
      </c>
      <c r="W106" s="142">
        <f t="shared" si="360"/>
        <v>560</v>
      </c>
      <c r="X106" s="143"/>
      <c r="Y106" s="525">
        <f t="shared" si="290"/>
        <v>17.857142857142858</v>
      </c>
      <c r="Z106" s="143" t="s">
        <v>722</v>
      </c>
      <c r="AA106" s="143">
        <v>1200</v>
      </c>
      <c r="AB106" s="144">
        <v>0.2</v>
      </c>
      <c r="AC106" s="31" t="s">
        <v>10</v>
      </c>
      <c r="AD106" s="493">
        <f t="shared" si="338"/>
        <v>25</v>
      </c>
      <c r="AE106" s="493">
        <f t="shared" si="291"/>
        <v>25</v>
      </c>
      <c r="AF106" s="42"/>
      <c r="AG106" s="31">
        <v>25</v>
      </c>
      <c r="AH106" s="42"/>
      <c r="AI106" s="428"/>
      <c r="AJ106" s="796">
        <v>1311.46</v>
      </c>
      <c r="AK106" s="276">
        <v>1478.73</v>
      </c>
      <c r="AL106" s="586">
        <f t="shared" si="339"/>
        <v>52.458400000000005</v>
      </c>
      <c r="AM106" s="35">
        <f t="shared" si="340"/>
        <v>59.1492</v>
      </c>
      <c r="AN106" s="35"/>
      <c r="AO106" s="35"/>
      <c r="AP106" s="35"/>
      <c r="AQ106" s="53"/>
      <c r="AR106" s="53"/>
      <c r="AS106" s="53"/>
      <c r="AT106" s="53"/>
      <c r="AU106" s="53"/>
      <c r="AV106" s="35"/>
      <c r="AW106" s="51"/>
      <c r="AX106" s="53"/>
      <c r="AY106" s="35"/>
      <c r="AZ106" s="31"/>
      <c r="BA106" s="31"/>
      <c r="BB106" s="160">
        <v>3473070.3560000001</v>
      </c>
      <c r="BC106" s="504">
        <f>BB106/AJ106</f>
        <v>2648.2472633553443</v>
      </c>
      <c r="BD106" s="388">
        <f>BB106/AK106</f>
        <v>2348.6845847450177</v>
      </c>
      <c r="BE106" s="392">
        <f>BB106/AD106</f>
        <v>138922.81424000001</v>
      </c>
      <c r="BF106" s="381" t="s">
        <v>873</v>
      </c>
      <c r="BG106" s="381"/>
      <c r="BH106" s="73">
        <v>43816</v>
      </c>
      <c r="BI106" s="126"/>
      <c r="BJ106" s="660"/>
      <c r="BK106" s="660"/>
      <c r="BL106" s="661"/>
      <c r="BM106" s="659">
        <f t="shared" si="341"/>
        <v>0</v>
      </c>
      <c r="BN106" s="578" t="s">
        <v>235</v>
      </c>
      <c r="BO106" s="110"/>
      <c r="BP106" s="139"/>
      <c r="BQ106" s="654">
        <f t="shared" si="325"/>
        <v>0</v>
      </c>
      <c r="BR106" s="638"/>
      <c r="BS106" s="110"/>
      <c r="BT106" s="110"/>
      <c r="BU106" s="202"/>
      <c r="BV106" s="201">
        <f t="shared" si="292"/>
        <v>731</v>
      </c>
      <c r="BW106" s="439"/>
      <c r="BX106" s="201" t="str">
        <f t="shared" si="311"/>
        <v>oui</v>
      </c>
      <c r="BY106" s="557">
        <f t="shared" si="312"/>
        <v>-1471.8</v>
      </c>
      <c r="BZ106" s="439">
        <f t="shared" si="313"/>
        <v>0</v>
      </c>
      <c r="CA106" s="439">
        <f t="shared" si="314"/>
        <v>0</v>
      </c>
      <c r="CB106" s="214"/>
      <c r="CC106" s="81"/>
      <c r="CD106" s="81"/>
      <c r="CE106" s="326" t="str">
        <f>IF(AND(CC106&gt;0,CD106&gt;0),CD106-CC106,"0")</f>
        <v>0</v>
      </c>
      <c r="CF106" s="81"/>
      <c r="CG106" s="81"/>
      <c r="CH106" s="326" t="str">
        <f>IF(AND(CF106&gt;0,CG106&gt;0),CG106-CF106,"0")</f>
        <v>0</v>
      </c>
      <c r="CI106" s="341"/>
      <c r="CJ106" s="341"/>
      <c r="CK106" s="343" t="str">
        <f>IF(AND(CI106&gt;0,CJ106&gt;0),CJ106-CI106,"0")</f>
        <v>0</v>
      </c>
      <c r="CL106" s="341"/>
      <c r="CM106" s="341"/>
      <c r="CN106" s="343" t="str">
        <f>IF(AND(CL106&gt;0,CM106&gt;0),CM106-CL106,"0")</f>
        <v>0</v>
      </c>
      <c r="CO106" s="341"/>
      <c r="CP106" s="341"/>
      <c r="CQ106" s="343" t="str">
        <f t="shared" si="342"/>
        <v>0</v>
      </c>
      <c r="CR106" s="290"/>
      <c r="CS106" s="339"/>
      <c r="CT106" s="330"/>
      <c r="CU106" s="335"/>
      <c r="CV106" s="332" t="str">
        <f t="shared" si="337"/>
        <v>0</v>
      </c>
      <c r="CW106" s="330"/>
      <c r="CX106" s="449">
        <v>44275</v>
      </c>
      <c r="CY106" s="233"/>
      <c r="CZ106" s="284">
        <f t="shared" si="327"/>
        <v>1475.8333333333333</v>
      </c>
      <c r="DA106" s="332" t="str">
        <f t="shared" si="293"/>
        <v>0</v>
      </c>
      <c r="DB106" s="450">
        <v>16</v>
      </c>
      <c r="DC106" s="169">
        <f t="shared" si="294"/>
        <v>19</v>
      </c>
      <c r="DD106" s="330"/>
      <c r="DE106" s="335">
        <f t="shared" ca="1" si="366"/>
        <v>43950</v>
      </c>
      <c r="DF106" s="332" t="str">
        <f t="shared" ca="1" si="319"/>
        <v>0</v>
      </c>
      <c r="DG106" s="330"/>
      <c r="DH106" s="348">
        <f t="shared" ca="1" si="367"/>
        <v>43950</v>
      </c>
      <c r="DI106" s="333" t="str">
        <f t="shared" ca="1" si="295"/>
        <v>0</v>
      </c>
      <c r="DJ106" s="334"/>
      <c r="DK106" s="348">
        <f t="shared" ca="1" si="368"/>
        <v>43950</v>
      </c>
      <c r="DL106" s="332" t="str">
        <f t="shared" ca="1" si="347"/>
        <v>0</v>
      </c>
      <c r="DM106" s="335"/>
      <c r="DN106" s="335">
        <f t="shared" ca="1" si="369"/>
        <v>43950</v>
      </c>
      <c r="DO106" s="332" t="str">
        <f t="shared" ca="1" si="296"/>
        <v>0</v>
      </c>
      <c r="DP106" s="336"/>
      <c r="DQ106" s="336"/>
      <c r="DR106" s="332" t="str">
        <f t="shared" si="297"/>
        <v>0</v>
      </c>
      <c r="DS106" s="335"/>
      <c r="DT106" s="335">
        <f t="shared" ca="1" si="370"/>
        <v>43950</v>
      </c>
      <c r="DU106" s="332" t="str">
        <f t="shared" ca="1" si="298"/>
        <v>0</v>
      </c>
      <c r="DV106" s="335"/>
      <c r="DW106" s="335">
        <f t="shared" ca="1" si="371"/>
        <v>43950</v>
      </c>
      <c r="DX106" s="332" t="str">
        <f t="shared" ca="1" si="299"/>
        <v>0</v>
      </c>
      <c r="DY106" s="336"/>
      <c r="DZ106" s="336"/>
      <c r="EA106" s="336"/>
      <c r="EB106" s="477">
        <f t="shared" si="350"/>
        <v>44762</v>
      </c>
      <c r="EC106" s="476">
        <f>DATE(YEAR(EB106),MONTH(EB106)+3,DAY(EB106))</f>
        <v>44854</v>
      </c>
      <c r="ED106" s="473">
        <f t="shared" si="343"/>
        <v>3.0666666666666669</v>
      </c>
      <c r="EE106" s="605">
        <f t="shared" ca="1" si="372"/>
        <v>30.133333333333333</v>
      </c>
      <c r="EF106" s="476">
        <f t="shared" ca="1" si="373"/>
        <v>44680</v>
      </c>
      <c r="EG106" s="535"/>
      <c r="EH106" s="526"/>
      <c r="EI106" s="536">
        <f t="shared" si="374"/>
        <v>44979</v>
      </c>
      <c r="EJ106" s="295"/>
      <c r="EK106" s="534">
        <f t="shared" si="363"/>
        <v>44793</v>
      </c>
      <c r="EL106" s="476">
        <f t="shared" si="375"/>
        <v>44885</v>
      </c>
      <c r="EM106" s="368"/>
      <c r="EN106" s="471">
        <f t="shared" si="376"/>
        <v>3.0666666666666669</v>
      </c>
      <c r="EO106" s="461"/>
      <c r="EP106" s="173">
        <f t="shared" si="352"/>
        <v>0</v>
      </c>
      <c r="EQ106" s="77"/>
      <c r="ER106" s="353"/>
      <c r="ES106" s="353"/>
      <c r="ET106" s="353"/>
      <c r="EU106" s="353"/>
      <c r="EV106" s="353"/>
      <c r="EW106" s="483">
        <f t="shared" si="361"/>
        <v>0</v>
      </c>
      <c r="EX106" s="350"/>
      <c r="EY106" s="362"/>
      <c r="EZ106" s="350"/>
      <c r="FA106" s="350" t="s">
        <v>818</v>
      </c>
      <c r="FB106" s="126">
        <f t="shared" ca="1" si="321"/>
        <v>44680</v>
      </c>
      <c r="FC106" s="80"/>
      <c r="FD106" s="80"/>
      <c r="FE106" s="80"/>
      <c r="FF106" s="80"/>
      <c r="FG106" s="80"/>
      <c r="FH106" s="31"/>
      <c r="FI106" s="194">
        <f t="shared" si="351"/>
        <v>45219</v>
      </c>
      <c r="FJ106" s="194"/>
      <c r="FK106" s="31"/>
      <c r="FL106" s="31"/>
      <c r="FM106" s="31"/>
      <c r="FN106" s="31"/>
      <c r="FO106" s="31"/>
      <c r="FP106" s="31"/>
      <c r="FQ106" s="31"/>
      <c r="FR106" s="31"/>
      <c r="FS106" s="31"/>
      <c r="FT106" s="31"/>
      <c r="FU106" s="31"/>
      <c r="FV106" s="31"/>
      <c r="FW106" s="31"/>
      <c r="FX106" s="529"/>
      <c r="FY106" s="652">
        <f t="shared" si="344"/>
        <v>3627522.5907412283</v>
      </c>
      <c r="FZ106" s="550">
        <f t="shared" si="365"/>
        <v>3627522.5907412283</v>
      </c>
      <c r="GA106" s="45">
        <f t="shared" si="322"/>
        <v>3627522.5907412283</v>
      </c>
      <c r="GB106" s="602">
        <f t="shared" si="377"/>
        <v>725000</v>
      </c>
      <c r="GC106" s="28">
        <f t="shared" si="345"/>
        <v>2453.1338315589919</v>
      </c>
      <c r="GD106" s="28">
        <f t="shared" si="353"/>
        <v>145100.90362964914</v>
      </c>
      <c r="GE106" s="45">
        <v>1029075.1660303945</v>
      </c>
      <c r="GF106" s="417"/>
      <c r="GG106" s="28">
        <f t="shared" si="323"/>
        <v>41163.006641215783</v>
      </c>
      <c r="GH106" s="45">
        <f t="shared" si="362"/>
        <v>1873447.4247108337</v>
      </c>
      <c r="GI106" s="59">
        <v>374689.48494216683</v>
      </c>
      <c r="GJ106" s="59">
        <v>1498757.9397686669</v>
      </c>
      <c r="GK106" s="407">
        <f t="shared" si="354"/>
        <v>74937.896988433349</v>
      </c>
      <c r="GL106" s="45"/>
      <c r="GM106" s="45">
        <v>725000</v>
      </c>
      <c r="GN106" s="45"/>
      <c r="GO106" s="23">
        <f t="shared" si="346"/>
        <v>0.19986091936421474</v>
      </c>
      <c r="GP106" s="45"/>
      <c r="GQ106" s="45"/>
      <c r="GR106" s="45"/>
      <c r="GS106" s="28">
        <f t="shared" si="300"/>
        <v>29000</v>
      </c>
      <c r="GT106" s="28">
        <f t="shared" si="301"/>
        <v>70163.006641215776</v>
      </c>
      <c r="GU106" s="682"/>
      <c r="GV106" s="682"/>
      <c r="GW106" s="680">
        <f t="shared" si="378"/>
        <v>70163.006641215776</v>
      </c>
      <c r="GX106" s="682"/>
      <c r="GY106" s="682">
        <f t="shared" si="302"/>
        <v>70163.006641215776</v>
      </c>
      <c r="GZ106" s="681">
        <f t="shared" si="324"/>
        <v>0.48354631078175481</v>
      </c>
      <c r="HA106" s="682"/>
      <c r="HB106" s="682"/>
      <c r="HC106" s="45"/>
      <c r="HD106" s="602"/>
      <c r="HE106" s="608">
        <f t="shared" si="303"/>
        <v>0</v>
      </c>
      <c r="HF106" s="602">
        <f t="shared" si="304"/>
        <v>3627522.5907412283</v>
      </c>
      <c r="HG106" s="602">
        <f ca="1">IF(EE106&lt;DATEDIF(TODAY(),$HG$1,"M"),HF106,(HF106/EE106*DATEDIF(TODAY(),$HG$1,"M")))*0+100000</f>
        <v>100000</v>
      </c>
      <c r="HH106" s="608">
        <f t="shared" ca="1" si="379"/>
        <v>2.7567023360581346E-2</v>
      </c>
      <c r="HI106" s="602"/>
      <c r="HJ106" s="602">
        <f t="shared" si="349"/>
        <v>725000</v>
      </c>
      <c r="HK106" s="602">
        <f t="shared" si="348"/>
        <v>0</v>
      </c>
      <c r="HL106" s="602"/>
      <c r="HM106" s="673"/>
      <c r="HN106" s="62"/>
      <c r="HO106" s="673"/>
      <c r="HP106" s="673">
        <f t="shared" si="364"/>
        <v>0</v>
      </c>
      <c r="HQ106" s="539"/>
      <c r="HR106" s="539"/>
      <c r="HS106" s="539"/>
      <c r="HT106" s="539"/>
      <c r="HU106" s="539"/>
      <c r="HV106" s="673"/>
      <c r="HW106" s="673"/>
      <c r="HX106" s="539"/>
    </row>
    <row r="107" spans="1:232" ht="15" customHeight="1">
      <c r="A107" s="58" t="s">
        <v>910</v>
      </c>
      <c r="B107" s="31" t="s">
        <v>21</v>
      </c>
      <c r="C107" s="31" t="s">
        <v>90</v>
      </c>
      <c r="D107" s="31">
        <v>2020</v>
      </c>
      <c r="E107" s="6" t="s">
        <v>880</v>
      </c>
      <c r="F107" s="31" t="s">
        <v>709</v>
      </c>
      <c r="G107" s="31" t="s">
        <v>891</v>
      </c>
      <c r="H107" s="31" t="s">
        <v>890</v>
      </c>
      <c r="I107" s="31"/>
      <c r="J107" s="33" t="s">
        <v>857</v>
      </c>
      <c r="K107" s="180"/>
      <c r="L107" s="114"/>
      <c r="M107" s="115"/>
      <c r="N107" s="116"/>
      <c r="O107" s="142">
        <f>18101+4560</f>
        <v>22661</v>
      </c>
      <c r="P107" s="142"/>
      <c r="Q107" s="142"/>
      <c r="R107" s="142">
        <f t="shared" si="355"/>
        <v>0</v>
      </c>
      <c r="S107" s="142">
        <f t="shared" si="356"/>
        <v>0</v>
      </c>
      <c r="T107" s="148">
        <f t="shared" si="357"/>
        <v>0</v>
      </c>
      <c r="U107" s="148">
        <f t="shared" si="358"/>
        <v>0</v>
      </c>
      <c r="V107" s="148">
        <f t="shared" si="359"/>
        <v>0</v>
      </c>
      <c r="W107" s="142">
        <f t="shared" si="360"/>
        <v>1743.1538461538462</v>
      </c>
      <c r="X107" s="143"/>
      <c r="Y107" s="525">
        <f t="shared" si="290"/>
        <v>5.7367282997219897</v>
      </c>
      <c r="Z107" s="143" t="s">
        <v>858</v>
      </c>
      <c r="AA107" s="143"/>
      <c r="AB107" s="144">
        <v>0.1</v>
      </c>
      <c r="AC107" s="31" t="s">
        <v>9</v>
      </c>
      <c r="AD107" s="493">
        <f t="shared" si="338"/>
        <v>13</v>
      </c>
      <c r="AE107" s="493">
        <f t="shared" si="291"/>
        <v>13</v>
      </c>
      <c r="AF107" s="31">
        <v>13</v>
      </c>
      <c r="AG107" s="42"/>
      <c r="AH107" s="42"/>
      <c r="AI107" s="428"/>
      <c r="AJ107" s="796">
        <v>950.14</v>
      </c>
      <c r="AK107" s="276">
        <v>1143.23</v>
      </c>
      <c r="AL107" s="586">
        <f t="shared" si="339"/>
        <v>73.087692307692308</v>
      </c>
      <c r="AM107" s="35">
        <f t="shared" si="340"/>
        <v>87.940769230769234</v>
      </c>
      <c r="AN107" s="35"/>
      <c r="AO107" s="35"/>
      <c r="AP107" s="35"/>
      <c r="AQ107" s="53"/>
      <c r="AR107" s="53"/>
      <c r="AS107" s="53"/>
      <c r="AT107" s="53"/>
      <c r="AU107" s="53"/>
      <c r="AV107" s="35"/>
      <c r="AW107" s="51"/>
      <c r="AX107" s="53"/>
      <c r="AY107" s="35"/>
      <c r="AZ107" s="31"/>
      <c r="BA107" s="31"/>
      <c r="BB107" s="160">
        <v>2218577</v>
      </c>
      <c r="BC107" s="504">
        <f>BB107/AJ107</f>
        <v>2335.0001052476478</v>
      </c>
      <c r="BD107" s="388">
        <f>BB107/AK107</f>
        <v>1940.6217471549905</v>
      </c>
      <c r="BE107" s="392">
        <f>BB107/AD107</f>
        <v>170659.76923076922</v>
      </c>
      <c r="BF107" s="165">
        <v>43707</v>
      </c>
      <c r="BG107" s="165"/>
      <c r="BH107" s="73">
        <v>43816</v>
      </c>
      <c r="BI107" s="126"/>
      <c r="BJ107" s="660"/>
      <c r="BK107" s="660"/>
      <c r="BL107" s="661"/>
      <c r="BM107" s="659">
        <f t="shared" si="341"/>
        <v>0</v>
      </c>
      <c r="BN107" s="578" t="s">
        <v>235</v>
      </c>
      <c r="BO107" s="110"/>
      <c r="BP107" s="139"/>
      <c r="BQ107" s="654">
        <f t="shared" si="325"/>
        <v>0</v>
      </c>
      <c r="BR107" s="638"/>
      <c r="BS107" s="110"/>
      <c r="BT107" s="110"/>
      <c r="BU107" s="202"/>
      <c r="BV107" s="201">
        <f t="shared" si="292"/>
        <v>731</v>
      </c>
      <c r="BW107" s="439"/>
      <c r="BX107" s="201" t="str">
        <f t="shared" si="311"/>
        <v>oui</v>
      </c>
      <c r="BY107" s="557">
        <f t="shared" si="312"/>
        <v>-1471.8</v>
      </c>
      <c r="BZ107" s="439">
        <f t="shared" si="313"/>
        <v>0</v>
      </c>
      <c r="CA107" s="439">
        <f t="shared" si="314"/>
        <v>0</v>
      </c>
      <c r="CB107" s="214"/>
      <c r="CC107" s="81"/>
      <c r="CD107" s="81"/>
      <c r="CE107" s="326"/>
      <c r="CF107" s="81"/>
      <c r="CG107" s="81"/>
      <c r="CH107" s="326"/>
      <c r="CI107" s="341"/>
      <c r="CJ107" s="341"/>
      <c r="CK107" s="343"/>
      <c r="CL107" s="341"/>
      <c r="CM107" s="341"/>
      <c r="CN107" s="343"/>
      <c r="CO107" s="341"/>
      <c r="CP107" s="341"/>
      <c r="CQ107" s="343" t="str">
        <f t="shared" si="342"/>
        <v>0</v>
      </c>
      <c r="CR107" s="290"/>
      <c r="CS107" s="339"/>
      <c r="CT107" s="330"/>
      <c r="CU107" s="335"/>
      <c r="CV107" s="332" t="str">
        <f t="shared" si="337"/>
        <v>0</v>
      </c>
      <c r="CW107" s="330"/>
      <c r="CX107" s="449">
        <v>44275</v>
      </c>
      <c r="CY107" s="233"/>
      <c r="CZ107" s="284">
        <f t="shared" si="327"/>
        <v>1475.8333333333333</v>
      </c>
      <c r="DA107" s="332" t="str">
        <f t="shared" si="293"/>
        <v>0</v>
      </c>
      <c r="DB107" s="450">
        <v>16</v>
      </c>
      <c r="DC107" s="169">
        <f t="shared" si="294"/>
        <v>19</v>
      </c>
      <c r="DD107" s="330"/>
      <c r="DE107" s="335">
        <f t="shared" ca="1" si="366"/>
        <v>43950</v>
      </c>
      <c r="DF107" s="332" t="str">
        <f t="shared" ca="1" si="319"/>
        <v>0</v>
      </c>
      <c r="DG107" s="330"/>
      <c r="DH107" s="348">
        <f t="shared" ca="1" si="367"/>
        <v>43950</v>
      </c>
      <c r="DI107" s="333" t="str">
        <f t="shared" ca="1" si="295"/>
        <v>0</v>
      </c>
      <c r="DJ107" s="334"/>
      <c r="DK107" s="348">
        <f t="shared" ca="1" si="368"/>
        <v>43950</v>
      </c>
      <c r="DL107" s="332" t="str">
        <f t="shared" ca="1" si="347"/>
        <v>0</v>
      </c>
      <c r="DM107" s="335">
        <v>43532</v>
      </c>
      <c r="DN107" s="335">
        <f t="shared" ca="1" si="369"/>
        <v>43950</v>
      </c>
      <c r="DO107" s="332">
        <f t="shared" ca="1" si="296"/>
        <v>418</v>
      </c>
      <c r="DP107" s="336"/>
      <c r="DQ107" s="336"/>
      <c r="DR107" s="332" t="str">
        <f t="shared" si="297"/>
        <v>0</v>
      </c>
      <c r="DS107" s="335"/>
      <c r="DT107" s="335">
        <f t="shared" ca="1" si="370"/>
        <v>43950</v>
      </c>
      <c r="DU107" s="332" t="str">
        <f t="shared" ca="1" si="298"/>
        <v>0</v>
      </c>
      <c r="DV107" s="335">
        <v>43609</v>
      </c>
      <c r="DW107" s="335">
        <f t="shared" ca="1" si="371"/>
        <v>43950</v>
      </c>
      <c r="DX107" s="332">
        <f t="shared" ca="1" si="299"/>
        <v>341</v>
      </c>
      <c r="DY107" s="336"/>
      <c r="DZ107" s="336"/>
      <c r="EA107" s="336"/>
      <c r="EB107" s="477">
        <f t="shared" si="350"/>
        <v>44762</v>
      </c>
      <c r="EC107" s="476">
        <f>DATE(YEAR(EB107),MONTH(EB107)+3,DAY(EB107))</f>
        <v>44854</v>
      </c>
      <c r="ED107" s="473">
        <f t="shared" si="343"/>
        <v>3.0666666666666669</v>
      </c>
      <c r="EE107" s="605">
        <f t="shared" ca="1" si="372"/>
        <v>30.133333333333333</v>
      </c>
      <c r="EF107" s="476">
        <f t="shared" ca="1" si="373"/>
        <v>44680</v>
      </c>
      <c r="EG107" s="535"/>
      <c r="EH107" s="526"/>
      <c r="EI107" s="536">
        <f t="shared" si="374"/>
        <v>44979</v>
      </c>
      <c r="EJ107" s="295"/>
      <c r="EK107" s="534">
        <f t="shared" si="363"/>
        <v>44793</v>
      </c>
      <c r="EL107" s="476">
        <f t="shared" si="375"/>
        <v>44885</v>
      </c>
      <c r="EM107" s="368"/>
      <c r="EN107" s="471">
        <f t="shared" si="376"/>
        <v>3.0666666666666669</v>
      </c>
      <c r="EO107" s="461"/>
      <c r="EP107" s="173">
        <f t="shared" si="352"/>
        <v>0</v>
      </c>
      <c r="EQ107" s="77"/>
      <c r="ER107" s="353"/>
      <c r="ES107" s="353"/>
      <c r="ET107" s="353"/>
      <c r="EU107" s="353"/>
      <c r="EV107" s="353"/>
      <c r="EW107" s="483">
        <f t="shared" si="361"/>
        <v>0</v>
      </c>
      <c r="EX107" s="350"/>
      <c r="EY107" s="362"/>
      <c r="EZ107" s="350"/>
      <c r="FA107" s="350" t="s">
        <v>822</v>
      </c>
      <c r="FB107" s="126">
        <f t="shared" ca="1" si="321"/>
        <v>44680</v>
      </c>
      <c r="FC107" s="80"/>
      <c r="FD107" s="80"/>
      <c r="FE107" s="80"/>
      <c r="FF107" s="80"/>
      <c r="FG107" s="80"/>
      <c r="FH107" s="31"/>
      <c r="FI107" s="194">
        <f t="shared" si="351"/>
        <v>45219</v>
      </c>
      <c r="FJ107" s="194"/>
      <c r="FK107" s="31"/>
      <c r="FL107" s="31"/>
      <c r="FM107" s="31"/>
      <c r="FN107" s="31"/>
      <c r="FO107" s="31"/>
      <c r="FP107" s="31"/>
      <c r="FQ107" s="31"/>
      <c r="FR107" s="31"/>
      <c r="FS107" s="31"/>
      <c r="FT107" s="31"/>
      <c r="FU107" s="31"/>
      <c r="FV107" s="31"/>
      <c r="FW107" s="31"/>
      <c r="FX107" s="529"/>
      <c r="FY107" s="652">
        <f t="shared" si="344"/>
        <v>2321486.6867354</v>
      </c>
      <c r="FZ107" s="550">
        <f t="shared" si="365"/>
        <v>2321486.6867354</v>
      </c>
      <c r="GA107" s="45">
        <f t="shared" si="322"/>
        <v>2321486.6867354</v>
      </c>
      <c r="GB107" s="602">
        <f t="shared" si="377"/>
        <v>260000</v>
      </c>
      <c r="GC107" s="28">
        <f t="shared" si="345"/>
        <v>2030.6383551301137</v>
      </c>
      <c r="GD107" s="28">
        <f t="shared" si="353"/>
        <v>178575.89897964615</v>
      </c>
      <c r="GE107" s="45">
        <v>734279.68673540023</v>
      </c>
      <c r="GF107" s="417"/>
      <c r="GG107" s="28">
        <f t="shared" si="323"/>
        <v>56483.052825800019</v>
      </c>
      <c r="GH107" s="45">
        <f t="shared" si="362"/>
        <v>1327207</v>
      </c>
      <c r="GI107" s="59">
        <v>224357</v>
      </c>
      <c r="GJ107" s="59">
        <v>1102850</v>
      </c>
      <c r="GK107" s="407">
        <f t="shared" si="354"/>
        <v>102092.84615384616</v>
      </c>
      <c r="GL107" s="45"/>
      <c r="GM107" s="45">
        <v>260000</v>
      </c>
      <c r="GN107" s="45"/>
      <c r="GO107" s="23">
        <f t="shared" si="346"/>
        <v>0.1119971962301563</v>
      </c>
      <c r="GP107" s="45"/>
      <c r="GQ107" s="45"/>
      <c r="GR107" s="45"/>
      <c r="GS107" s="28">
        <f t="shared" si="300"/>
        <v>20000</v>
      </c>
      <c r="GT107" s="28">
        <f t="shared" si="301"/>
        <v>76483.052825800012</v>
      </c>
      <c r="GU107" s="682"/>
      <c r="GV107" s="682"/>
      <c r="GW107" s="680">
        <f t="shared" si="378"/>
        <v>76483.052825800012</v>
      </c>
      <c r="GX107" s="682"/>
      <c r="GY107" s="682">
        <f t="shared" si="302"/>
        <v>76483.052825800012</v>
      </c>
      <c r="GZ107" s="681">
        <f t="shared" si="324"/>
        <v>0.42829437378062679</v>
      </c>
      <c r="HA107" s="682"/>
      <c r="HB107" s="682"/>
      <c r="HC107" s="45"/>
      <c r="HD107" s="602"/>
      <c r="HE107" s="608">
        <f t="shared" si="303"/>
        <v>0</v>
      </c>
      <c r="HF107" s="602">
        <f t="shared" si="304"/>
        <v>2321486.6867354</v>
      </c>
      <c r="HG107" s="602">
        <f ca="1">IF(EE107&lt;DATEDIF(TODAY(),$HG$1,"M"),HF107,(HF107/EE107*DATEDIF(TODAY(),$HG$1,"M")))*0+100000</f>
        <v>100000</v>
      </c>
      <c r="HH107" s="608">
        <f t="shared" ca="1" si="379"/>
        <v>4.3075844703906276E-2</v>
      </c>
      <c r="HI107" s="602"/>
      <c r="HJ107" s="602">
        <f t="shared" si="349"/>
        <v>260000</v>
      </c>
      <c r="HK107" s="602">
        <f t="shared" si="348"/>
        <v>0</v>
      </c>
      <c r="HL107" s="602"/>
      <c r="HM107" s="673"/>
      <c r="HN107" s="62"/>
      <c r="HO107" s="673"/>
      <c r="HP107" s="673">
        <f t="shared" si="364"/>
        <v>0</v>
      </c>
      <c r="HQ107" s="539"/>
      <c r="HR107" s="539"/>
      <c r="HS107" s="539"/>
      <c r="HT107" s="539"/>
      <c r="HU107" s="539"/>
      <c r="HV107" s="673"/>
      <c r="HW107" s="673">
        <f>HV107+HP107+HO107+HM107</f>
        <v>0</v>
      </c>
      <c r="HX107" s="539"/>
    </row>
    <row r="108" spans="1:232" ht="15" customHeight="1">
      <c r="A108" s="751" t="s">
        <v>730</v>
      </c>
      <c r="B108" s="32" t="s">
        <v>25</v>
      </c>
      <c r="C108" s="32" t="s">
        <v>92</v>
      </c>
      <c r="D108" s="31">
        <v>2020</v>
      </c>
      <c r="E108" s="32" t="s">
        <v>749</v>
      </c>
      <c r="F108" s="31" t="s">
        <v>16</v>
      </c>
      <c r="G108" s="31" t="s">
        <v>605</v>
      </c>
      <c r="H108" s="32" t="s">
        <v>890</v>
      </c>
      <c r="I108" s="31"/>
      <c r="J108" s="32" t="s">
        <v>731</v>
      </c>
      <c r="K108" s="141" t="s">
        <v>727</v>
      </c>
      <c r="L108" s="114"/>
      <c r="M108" s="115"/>
      <c r="N108" s="116"/>
      <c r="O108" s="147">
        <f>(2033+1261)/41*AD108</f>
        <v>1285.4634146341464</v>
      </c>
      <c r="P108" s="147"/>
      <c r="Q108" s="147"/>
      <c r="R108" s="142">
        <f t="shared" si="355"/>
        <v>0</v>
      </c>
      <c r="S108" s="142">
        <f t="shared" si="356"/>
        <v>0</v>
      </c>
      <c r="T108" s="148">
        <f t="shared" si="357"/>
        <v>0</v>
      </c>
      <c r="U108" s="148">
        <f t="shared" si="358"/>
        <v>0</v>
      </c>
      <c r="V108" s="148">
        <f t="shared" si="359"/>
        <v>0</v>
      </c>
      <c r="W108" s="142">
        <f t="shared" si="360"/>
        <v>80.341463414634148</v>
      </c>
      <c r="X108" s="149"/>
      <c r="Y108" s="525">
        <f t="shared" si="290"/>
        <v>124.46873102610807</v>
      </c>
      <c r="Z108" s="149"/>
      <c r="AA108" s="143"/>
      <c r="AB108" s="144"/>
      <c r="AC108" s="32" t="s">
        <v>9</v>
      </c>
      <c r="AD108" s="493">
        <f t="shared" si="338"/>
        <v>16</v>
      </c>
      <c r="AE108" s="493">
        <f t="shared" si="291"/>
        <v>16</v>
      </c>
      <c r="AF108" s="32">
        <v>16</v>
      </c>
      <c r="AG108" s="42"/>
      <c r="AH108" s="42"/>
      <c r="AI108" s="42"/>
      <c r="AJ108" s="35">
        <v>1260.5</v>
      </c>
      <c r="AK108" s="276">
        <v>1467.94</v>
      </c>
      <c r="AL108" s="586">
        <f t="shared" si="339"/>
        <v>78.78125</v>
      </c>
      <c r="AM108" s="35">
        <f t="shared" si="340"/>
        <v>91.746250000000003</v>
      </c>
      <c r="AN108" s="35"/>
      <c r="AO108" s="35"/>
      <c r="AP108" s="35"/>
      <c r="AQ108" s="53"/>
      <c r="AR108" s="53"/>
      <c r="AS108" s="53"/>
      <c r="AT108" s="37"/>
      <c r="AU108" s="35"/>
      <c r="AV108" s="51"/>
      <c r="AW108" s="53"/>
      <c r="AX108" s="53"/>
      <c r="AY108" s="35"/>
      <c r="AZ108" s="34"/>
      <c r="BA108" s="31"/>
      <c r="BB108" s="160"/>
      <c r="BC108" s="31"/>
      <c r="BD108" s="31"/>
      <c r="BE108" s="31"/>
      <c r="BF108" s="31"/>
      <c r="BG108" s="31"/>
      <c r="BH108" s="31"/>
      <c r="BI108" s="31"/>
      <c r="BJ108" s="660"/>
      <c r="BK108" s="660"/>
      <c r="BL108" s="661"/>
      <c r="BM108" s="659">
        <f t="shared" si="341"/>
        <v>0</v>
      </c>
      <c r="BN108" s="578" t="s">
        <v>235</v>
      </c>
      <c r="BO108" s="110"/>
      <c r="BP108" s="139"/>
      <c r="BQ108" s="654">
        <f t="shared" si="325"/>
        <v>0</v>
      </c>
      <c r="BR108" s="638"/>
      <c r="BS108" s="110"/>
      <c r="BT108" s="110"/>
      <c r="BU108" s="202"/>
      <c r="BV108" s="201">
        <f t="shared" si="292"/>
        <v>731</v>
      </c>
      <c r="BW108" s="439"/>
      <c r="BX108" s="201" t="str">
        <f t="shared" si="311"/>
        <v>oui</v>
      </c>
      <c r="BY108" s="557">
        <f t="shared" si="312"/>
        <v>-1471.8</v>
      </c>
      <c r="BZ108" s="439">
        <f t="shared" si="313"/>
        <v>0</v>
      </c>
      <c r="CA108" s="439">
        <f t="shared" si="314"/>
        <v>0</v>
      </c>
      <c r="CB108" s="214">
        <v>43656</v>
      </c>
      <c r="CC108" s="214">
        <v>43670</v>
      </c>
      <c r="CD108" s="214">
        <v>43670</v>
      </c>
      <c r="CE108" s="448">
        <f>IF(AND(CC108&gt;0,CD108&gt;0),CD108-CC108,"0")</f>
        <v>0</v>
      </c>
      <c r="CF108" s="81">
        <v>43753</v>
      </c>
      <c r="CG108" s="81">
        <v>43798</v>
      </c>
      <c r="CH108" s="326">
        <f>IF(AND(CF108&gt;0,CG108&gt;0),CG108-CF108,"0")</f>
        <v>45</v>
      </c>
      <c r="CI108" s="341">
        <v>43784</v>
      </c>
      <c r="CJ108" s="341"/>
      <c r="CK108" s="343" t="str">
        <f>IF(AND(CI108&gt;0,CJ108&gt;0),CJ108-CI108,"0")</f>
        <v>0</v>
      </c>
      <c r="CL108" s="341">
        <v>43862</v>
      </c>
      <c r="CM108" s="341"/>
      <c r="CN108" s="343" t="str">
        <f>IF(AND(CL108&gt;0,CM108&gt;0),CM108-CL108,"0")</f>
        <v>0</v>
      </c>
      <c r="CO108" s="341">
        <v>43936</v>
      </c>
      <c r="CP108" s="341"/>
      <c r="CQ108" s="343" t="str">
        <f t="shared" si="342"/>
        <v>0</v>
      </c>
      <c r="CR108" s="31"/>
      <c r="CS108" s="341"/>
      <c r="CT108" s="330">
        <v>44013</v>
      </c>
      <c r="CU108" s="331"/>
      <c r="CV108" s="332" t="str">
        <f t="shared" si="337"/>
        <v>0</v>
      </c>
      <c r="CW108" s="330">
        <v>44105</v>
      </c>
      <c r="CX108" s="449">
        <v>44367</v>
      </c>
      <c r="CY108" s="496"/>
      <c r="CZ108" s="284">
        <f t="shared" si="327"/>
        <v>1478.9</v>
      </c>
      <c r="DA108" s="332">
        <f t="shared" si="293"/>
        <v>262</v>
      </c>
      <c r="DB108" s="450">
        <v>16</v>
      </c>
      <c r="DC108" s="169">
        <f t="shared" si="294"/>
        <v>16</v>
      </c>
      <c r="DD108" s="330"/>
      <c r="DE108" s="335">
        <f t="shared" ca="1" si="366"/>
        <v>43950</v>
      </c>
      <c r="DF108" s="332" t="str">
        <f t="shared" ca="1" si="319"/>
        <v>0</v>
      </c>
      <c r="DG108" s="330"/>
      <c r="DH108" s="348">
        <f t="shared" ca="1" si="367"/>
        <v>43950</v>
      </c>
      <c r="DI108" s="333" t="str">
        <f t="shared" ca="1" si="295"/>
        <v>0</v>
      </c>
      <c r="DJ108" s="334"/>
      <c r="DK108" s="348">
        <f t="shared" ca="1" si="368"/>
        <v>43950</v>
      </c>
      <c r="DL108" s="332" t="str">
        <f t="shared" ca="1" si="347"/>
        <v>0</v>
      </c>
      <c r="DM108" s="335"/>
      <c r="DN108" s="335">
        <f t="shared" ca="1" si="369"/>
        <v>43950</v>
      </c>
      <c r="DO108" s="332" t="str">
        <f t="shared" ca="1" si="296"/>
        <v>0</v>
      </c>
      <c r="DP108" s="336"/>
      <c r="DQ108" s="336"/>
      <c r="DR108" s="332" t="str">
        <f t="shared" si="297"/>
        <v>0</v>
      </c>
      <c r="DS108" s="335"/>
      <c r="DT108" s="335">
        <f t="shared" ca="1" si="370"/>
        <v>43950</v>
      </c>
      <c r="DU108" s="332" t="str">
        <f t="shared" ca="1" si="298"/>
        <v>0</v>
      </c>
      <c r="DV108" s="335"/>
      <c r="DW108" s="335">
        <f t="shared" ca="1" si="371"/>
        <v>43950</v>
      </c>
      <c r="DX108" s="332" t="str">
        <f t="shared" ca="1" si="299"/>
        <v>0</v>
      </c>
      <c r="DY108" s="336"/>
      <c r="DZ108" s="336"/>
      <c r="EA108" s="336"/>
      <c r="EB108" s="477">
        <f t="shared" si="350"/>
        <v>44854</v>
      </c>
      <c r="EC108" s="476">
        <f>DATE(YEAR(EB108),MONTH(EB108),DAY(EB108))</f>
        <v>44854</v>
      </c>
      <c r="ED108" s="473">
        <f t="shared" si="343"/>
        <v>0</v>
      </c>
      <c r="EE108" s="605">
        <f t="shared" ca="1" si="372"/>
        <v>30.133333333333333</v>
      </c>
      <c r="EF108" s="476">
        <f t="shared" ca="1" si="373"/>
        <v>44680</v>
      </c>
      <c r="EG108" s="552"/>
      <c r="EH108" s="526"/>
      <c r="EI108" s="536">
        <f t="shared" si="374"/>
        <v>44979</v>
      </c>
      <c r="EJ108" s="295"/>
      <c r="EK108" s="534">
        <f t="shared" si="363"/>
        <v>44885</v>
      </c>
      <c r="EL108" s="476">
        <f t="shared" si="375"/>
        <v>44885</v>
      </c>
      <c r="EM108" s="368"/>
      <c r="EN108" s="471">
        <f t="shared" si="376"/>
        <v>0</v>
      </c>
      <c r="EO108" s="461"/>
      <c r="EP108" s="173">
        <f t="shared" si="352"/>
        <v>0</v>
      </c>
      <c r="EQ108" s="128"/>
      <c r="ER108" s="353"/>
      <c r="ES108" s="353"/>
      <c r="ET108" s="353"/>
      <c r="EU108" s="353"/>
      <c r="EV108" s="353"/>
      <c r="EW108" s="483">
        <f t="shared" si="361"/>
        <v>0</v>
      </c>
      <c r="EX108" s="350"/>
      <c r="EY108" s="362"/>
      <c r="EZ108" s="350"/>
      <c r="FA108" s="350" t="s">
        <v>821</v>
      </c>
      <c r="FB108" s="126">
        <f t="shared" ca="1" si="321"/>
        <v>44680</v>
      </c>
      <c r="FC108" s="80"/>
      <c r="FD108" s="80"/>
      <c r="FE108" s="80"/>
      <c r="FF108" s="80"/>
      <c r="FG108" s="80"/>
      <c r="FH108" s="31"/>
      <c r="FI108" s="194">
        <f t="shared" si="351"/>
        <v>45219</v>
      </c>
      <c r="FJ108" s="194"/>
      <c r="FK108" s="31"/>
      <c r="FL108" s="31"/>
      <c r="FM108" s="31"/>
      <c r="FN108" s="31"/>
      <c r="FO108" s="31"/>
      <c r="FP108" s="31"/>
      <c r="FQ108" s="31"/>
      <c r="FR108" s="31"/>
      <c r="FS108" s="31"/>
      <c r="FT108" s="31"/>
      <c r="FU108" s="31"/>
      <c r="FV108" s="31"/>
      <c r="FW108" s="31"/>
      <c r="FX108" s="529"/>
      <c r="FY108" s="652">
        <f t="shared" si="344"/>
        <v>3279910.89</v>
      </c>
      <c r="FZ108" s="550">
        <f t="shared" si="365"/>
        <v>3279910.89</v>
      </c>
      <c r="GA108" s="45">
        <f t="shared" si="322"/>
        <v>3279910.89</v>
      </c>
      <c r="GB108" s="602">
        <f t="shared" si="377"/>
        <v>560000</v>
      </c>
      <c r="GC108" s="28">
        <f t="shared" si="345"/>
        <v>2234.3630461735493</v>
      </c>
      <c r="GD108" s="28">
        <f t="shared" si="353"/>
        <v>204994.43062500001</v>
      </c>
      <c r="GE108" s="45">
        <v>990795.5</v>
      </c>
      <c r="GF108" s="417"/>
      <c r="GG108" s="28">
        <f t="shared" si="323"/>
        <v>61924.71875</v>
      </c>
      <c r="GH108" s="45">
        <f t="shared" si="362"/>
        <v>1729115.3900000001</v>
      </c>
      <c r="GI108" s="59">
        <v>283960.8</v>
      </c>
      <c r="GJ108" s="59">
        <v>1445154.59</v>
      </c>
      <c r="GK108" s="407">
        <f t="shared" si="354"/>
        <v>108069.71187500001</v>
      </c>
      <c r="GL108" s="45"/>
      <c r="GM108" s="9">
        <v>560000</v>
      </c>
      <c r="GN108" s="45"/>
      <c r="GO108" s="23">
        <f t="shared" si="346"/>
        <v>0.1707363458279807</v>
      </c>
      <c r="GP108" s="45"/>
      <c r="GQ108" s="45"/>
      <c r="GR108" s="45"/>
      <c r="GS108" s="28">
        <f t="shared" si="300"/>
        <v>35000</v>
      </c>
      <c r="GT108" s="28">
        <f t="shared" si="301"/>
        <v>96924.71875</v>
      </c>
      <c r="GU108" s="682"/>
      <c r="GV108" s="682"/>
      <c r="GW108" s="680">
        <f t="shared" si="378"/>
        <v>96924.71875</v>
      </c>
      <c r="GX108" s="682"/>
      <c r="GY108" s="682">
        <f t="shared" si="302"/>
        <v>96924.71875</v>
      </c>
      <c r="GZ108" s="681">
        <f t="shared" si="324"/>
        <v>0.47281635142227901</v>
      </c>
      <c r="HA108" s="682"/>
      <c r="HB108" s="682"/>
      <c r="HC108" s="45"/>
      <c r="HD108" s="602"/>
      <c r="HE108" s="608">
        <f t="shared" si="303"/>
        <v>0</v>
      </c>
      <c r="HF108" s="602">
        <f t="shared" si="304"/>
        <v>3279910.89</v>
      </c>
      <c r="HG108" s="602">
        <f ca="1">IF(EE108&lt;DATEDIF(TODAY(),$HG$1,"M"),HF108,(HF108/EE108*DATEDIF(TODAY(),$HG$1,"M")))*0+70000</f>
        <v>70000</v>
      </c>
      <c r="HH108" s="608">
        <f t="shared" ca="1" si="379"/>
        <v>2.1342043228497587E-2</v>
      </c>
      <c r="HI108" s="602"/>
      <c r="HJ108" s="602">
        <f t="shared" si="349"/>
        <v>560000</v>
      </c>
      <c r="HK108" s="602">
        <f t="shared" si="348"/>
        <v>0</v>
      </c>
      <c r="HL108" s="602"/>
      <c r="HM108" s="673"/>
      <c r="HN108" s="62"/>
      <c r="HO108" s="673"/>
      <c r="HP108" s="673">
        <f t="shared" si="364"/>
        <v>0</v>
      </c>
      <c r="HQ108" s="539"/>
      <c r="HR108" s="539"/>
      <c r="HS108" s="539"/>
      <c r="HT108" s="539"/>
      <c r="HU108" s="539"/>
      <c r="HV108" s="673"/>
      <c r="HW108" s="673">
        <f>HV108+HP108+HO108+HM108</f>
        <v>0</v>
      </c>
      <c r="HX108" s="539"/>
    </row>
    <row r="109" spans="1:232" ht="32.25" customHeight="1">
      <c r="A109" s="751" t="s">
        <v>729</v>
      </c>
      <c r="B109" s="32" t="s">
        <v>25</v>
      </c>
      <c r="C109" s="32" t="s">
        <v>92</v>
      </c>
      <c r="D109" s="31">
        <v>2020</v>
      </c>
      <c r="E109" s="32" t="s">
        <v>749</v>
      </c>
      <c r="F109" s="74"/>
      <c r="G109" s="74"/>
      <c r="H109" s="32" t="s">
        <v>890</v>
      </c>
      <c r="I109" s="31"/>
      <c r="J109" s="32" t="s">
        <v>728</v>
      </c>
      <c r="K109" s="141" t="s">
        <v>727</v>
      </c>
      <c r="L109" s="114"/>
      <c r="M109" s="115"/>
      <c r="N109" s="116"/>
      <c r="O109" s="147">
        <f>(2033+1261)/41*AD109</f>
        <v>2008.5365853658536</v>
      </c>
      <c r="P109" s="147"/>
      <c r="Q109" s="147"/>
      <c r="R109" s="142">
        <f t="shared" si="355"/>
        <v>0</v>
      </c>
      <c r="S109" s="142">
        <f t="shared" si="356"/>
        <v>0</v>
      </c>
      <c r="T109" s="148">
        <f t="shared" si="357"/>
        <v>0</v>
      </c>
      <c r="U109" s="148">
        <f t="shared" si="358"/>
        <v>0</v>
      </c>
      <c r="V109" s="148">
        <f t="shared" si="359"/>
        <v>0</v>
      </c>
      <c r="W109" s="142">
        <f t="shared" si="360"/>
        <v>80.341463414634148</v>
      </c>
      <c r="X109" s="149"/>
      <c r="Y109" s="525">
        <f t="shared" si="290"/>
        <v>124.46873102610807</v>
      </c>
      <c r="Z109" s="149"/>
      <c r="AA109" s="143"/>
      <c r="AB109" s="144"/>
      <c r="AC109" s="32" t="s">
        <v>10</v>
      </c>
      <c r="AD109" s="493">
        <f t="shared" si="338"/>
        <v>25</v>
      </c>
      <c r="AE109" s="493">
        <f t="shared" si="291"/>
        <v>25</v>
      </c>
      <c r="AF109" s="42"/>
      <c r="AG109" s="32">
        <v>25</v>
      </c>
      <c r="AH109" s="42"/>
      <c r="AI109" s="74"/>
      <c r="AJ109" s="35">
        <v>1309.3900000000001</v>
      </c>
      <c r="AK109" s="276">
        <v>1647.37</v>
      </c>
      <c r="AL109" s="586">
        <f t="shared" si="339"/>
        <v>52.375600000000006</v>
      </c>
      <c r="AM109" s="35">
        <f t="shared" si="340"/>
        <v>65.894799999999989</v>
      </c>
      <c r="AN109" s="35"/>
      <c r="AO109" s="35"/>
      <c r="AP109" s="35"/>
      <c r="AQ109" s="53"/>
      <c r="AR109" s="53"/>
      <c r="AS109" s="53"/>
      <c r="AT109" s="37"/>
      <c r="AU109" s="35"/>
      <c r="AV109" s="51"/>
      <c r="AW109" s="53"/>
      <c r="AX109" s="53"/>
      <c r="AY109" s="35"/>
      <c r="AZ109" s="34"/>
      <c r="BA109" s="31"/>
      <c r="BB109" s="160"/>
      <c r="BC109" s="31"/>
      <c r="BD109" s="31"/>
      <c r="BE109" s="31"/>
      <c r="BF109" s="31"/>
      <c r="BG109" s="31"/>
      <c r="BH109" s="31"/>
      <c r="BI109" s="31"/>
      <c r="BJ109" s="660"/>
      <c r="BK109" s="660"/>
      <c r="BL109" s="661"/>
      <c r="BM109" s="659">
        <f t="shared" si="341"/>
        <v>0</v>
      </c>
      <c r="BN109" s="578" t="s">
        <v>235</v>
      </c>
      <c r="BO109" s="110"/>
      <c r="BP109" s="139"/>
      <c r="BQ109" s="654">
        <f t="shared" si="325"/>
        <v>0</v>
      </c>
      <c r="BR109" s="638"/>
      <c r="BS109" s="110"/>
      <c r="BT109" s="110"/>
      <c r="BU109" s="202"/>
      <c r="BV109" s="201">
        <f t="shared" si="292"/>
        <v>731</v>
      </c>
      <c r="BW109" s="439"/>
      <c r="BX109" s="201" t="str">
        <f t="shared" si="311"/>
        <v>oui</v>
      </c>
      <c r="BY109" s="557">
        <f t="shared" si="312"/>
        <v>-1471.8</v>
      </c>
      <c r="BZ109" s="439">
        <f t="shared" si="313"/>
        <v>0</v>
      </c>
      <c r="CA109" s="439">
        <f t="shared" si="314"/>
        <v>0</v>
      </c>
      <c r="CB109" s="81"/>
      <c r="CC109" s="81"/>
      <c r="CD109" s="81"/>
      <c r="CE109" s="326" t="str">
        <f>IF(AND(CC109&gt;0,CD109&gt;0),CD109-CC109,"0")</f>
        <v>0</v>
      </c>
      <c r="CF109" s="81"/>
      <c r="CG109" s="81"/>
      <c r="CH109" s="326" t="str">
        <f>IF(AND(CF109&gt;0,CG109&gt;0),CG109-CF109,"0")</f>
        <v>0</v>
      </c>
      <c r="CI109" s="81"/>
      <c r="CJ109" s="81"/>
      <c r="CK109" s="326" t="str">
        <f>IF(AND(CI109&gt;0,CJ109&gt;0),CJ109-CI109,"0")</f>
        <v>0</v>
      </c>
      <c r="CL109" s="83"/>
      <c r="CM109" s="81"/>
      <c r="CN109" s="326" t="str">
        <f>IF(AND(CL109&gt;0,CM109&gt;0),CM109-CL109,"0")</f>
        <v>0</v>
      </c>
      <c r="CO109" s="81"/>
      <c r="CP109" s="81"/>
      <c r="CQ109" s="326" t="str">
        <f t="shared" si="342"/>
        <v>0</v>
      </c>
      <c r="CR109" s="74"/>
      <c r="CS109" s="81"/>
      <c r="CT109" s="279"/>
      <c r="CU109" s="159"/>
      <c r="CV109" s="332" t="str">
        <f t="shared" si="337"/>
        <v>0</v>
      </c>
      <c r="CW109" s="279"/>
      <c r="CX109" s="449">
        <v>44367</v>
      </c>
      <c r="CY109" s="496"/>
      <c r="CZ109" s="284">
        <f t="shared" si="327"/>
        <v>1478.9</v>
      </c>
      <c r="DA109" s="326" t="str">
        <f t="shared" si="293"/>
        <v>0</v>
      </c>
      <c r="DB109" s="450">
        <v>16</v>
      </c>
      <c r="DC109" s="169">
        <f t="shared" si="294"/>
        <v>16</v>
      </c>
      <c r="DD109" s="279"/>
      <c r="DE109" s="335">
        <f t="shared" ca="1" si="366"/>
        <v>43950</v>
      </c>
      <c r="DF109" s="332" t="str">
        <f t="shared" ca="1" si="319"/>
        <v>0</v>
      </c>
      <c r="DG109" s="330"/>
      <c r="DH109" s="348">
        <f t="shared" ca="1" si="367"/>
        <v>43950</v>
      </c>
      <c r="DI109" s="333" t="str">
        <f t="shared" ca="1" si="295"/>
        <v>0</v>
      </c>
      <c r="DJ109" s="334"/>
      <c r="DK109" s="348">
        <f t="shared" ca="1" si="368"/>
        <v>43950</v>
      </c>
      <c r="DL109" s="332" t="str">
        <f t="shared" ca="1" si="347"/>
        <v>0</v>
      </c>
      <c r="DM109" s="335"/>
      <c r="DN109" s="335">
        <f t="shared" ca="1" si="369"/>
        <v>43950</v>
      </c>
      <c r="DO109" s="332" t="str">
        <f t="shared" ca="1" si="296"/>
        <v>0</v>
      </c>
      <c r="DP109" s="336"/>
      <c r="DQ109" s="336"/>
      <c r="DR109" s="332" t="str">
        <f t="shared" si="297"/>
        <v>0</v>
      </c>
      <c r="DS109" s="335"/>
      <c r="DT109" s="335">
        <f t="shared" ca="1" si="370"/>
        <v>43950</v>
      </c>
      <c r="DU109" s="332" t="str">
        <f t="shared" ca="1" si="298"/>
        <v>0</v>
      </c>
      <c r="DV109" s="335"/>
      <c r="DW109" s="335">
        <f t="shared" ca="1" si="371"/>
        <v>43950</v>
      </c>
      <c r="DX109" s="332" t="str">
        <f t="shared" ca="1" si="299"/>
        <v>0</v>
      </c>
      <c r="DY109" s="336"/>
      <c r="DZ109" s="336"/>
      <c r="EA109" s="336"/>
      <c r="EB109" s="477">
        <f t="shared" si="350"/>
        <v>44854</v>
      </c>
      <c r="EC109" s="476">
        <f>DATE(YEAR(EB109),MONTH(EB109),DAY(EB109))</f>
        <v>44854</v>
      </c>
      <c r="ED109" s="473">
        <f t="shared" si="343"/>
        <v>0</v>
      </c>
      <c r="EE109" s="605">
        <f t="shared" ca="1" si="372"/>
        <v>30.133333333333333</v>
      </c>
      <c r="EF109" s="476">
        <f t="shared" ca="1" si="373"/>
        <v>44680</v>
      </c>
      <c r="EG109" s="552"/>
      <c r="EH109" s="526"/>
      <c r="EI109" s="536">
        <f t="shared" si="374"/>
        <v>44979</v>
      </c>
      <c r="EJ109" s="295"/>
      <c r="EK109" s="534">
        <f t="shared" si="363"/>
        <v>44885</v>
      </c>
      <c r="EL109" s="476">
        <f t="shared" si="375"/>
        <v>44885</v>
      </c>
      <c r="EM109" s="368"/>
      <c r="EN109" s="471">
        <f t="shared" si="376"/>
        <v>0</v>
      </c>
      <c r="EO109" s="461"/>
      <c r="EP109" s="173">
        <f t="shared" si="352"/>
        <v>0</v>
      </c>
      <c r="EQ109" s="128"/>
      <c r="ER109" s="353"/>
      <c r="ES109" s="353"/>
      <c r="ET109" s="353"/>
      <c r="EU109" s="353"/>
      <c r="EV109" s="353"/>
      <c r="EW109" s="483">
        <f t="shared" si="361"/>
        <v>0</v>
      </c>
      <c r="EX109" s="350"/>
      <c r="EY109" s="362"/>
      <c r="EZ109" s="350"/>
      <c r="FA109" s="350"/>
      <c r="FB109" s="126">
        <f t="shared" ca="1" si="321"/>
        <v>44680</v>
      </c>
      <c r="FC109" s="80"/>
      <c r="FD109" s="80"/>
      <c r="FE109" s="80"/>
      <c r="FF109" s="80"/>
      <c r="FG109" s="80"/>
      <c r="FH109" s="31"/>
      <c r="FI109" s="194">
        <f t="shared" si="351"/>
        <v>45219</v>
      </c>
      <c r="FJ109" s="194"/>
      <c r="FK109" s="31"/>
      <c r="FL109" s="31"/>
      <c r="FM109" s="31"/>
      <c r="FN109" s="31"/>
      <c r="FO109" s="31"/>
      <c r="FP109" s="31"/>
      <c r="FQ109" s="31"/>
      <c r="FR109" s="31"/>
      <c r="FS109" s="31"/>
      <c r="FT109" s="31"/>
      <c r="FU109" s="31"/>
      <c r="FV109" s="31"/>
      <c r="FW109" s="31"/>
      <c r="FX109" s="529"/>
      <c r="FY109" s="652">
        <f t="shared" si="344"/>
        <v>3589126.7</v>
      </c>
      <c r="FZ109" s="550">
        <f t="shared" si="365"/>
        <v>3589126.7</v>
      </c>
      <c r="GA109" s="45">
        <f t="shared" si="322"/>
        <v>3589126.7</v>
      </c>
      <c r="GB109" s="602">
        <f t="shared" si="377"/>
        <v>907000</v>
      </c>
      <c r="GC109" s="28">
        <f t="shared" si="345"/>
        <v>2178.7010204143576</v>
      </c>
      <c r="GD109" s="28">
        <f t="shared" si="353"/>
        <v>143565.068</v>
      </c>
      <c r="GE109" s="45">
        <v>993218.2</v>
      </c>
      <c r="GF109" s="417"/>
      <c r="GG109" s="28">
        <f t="shared" si="323"/>
        <v>39728.727999999996</v>
      </c>
      <c r="GH109" s="45">
        <f t="shared" si="362"/>
        <v>1688908.5</v>
      </c>
      <c r="GI109" s="59">
        <v>236992.11</v>
      </c>
      <c r="GJ109" s="59">
        <v>1451916.39</v>
      </c>
      <c r="GK109" s="407">
        <f t="shared" si="354"/>
        <v>67556.34</v>
      </c>
      <c r="GL109" s="45"/>
      <c r="GM109" s="45">
        <v>907000</v>
      </c>
      <c r="GN109" s="45"/>
      <c r="GO109" s="23">
        <f t="shared" si="346"/>
        <v>0.25270771299324707</v>
      </c>
      <c r="GP109" s="45"/>
      <c r="GQ109" s="45"/>
      <c r="GR109" s="45"/>
      <c r="GS109" s="28">
        <f t="shared" si="300"/>
        <v>36280</v>
      </c>
      <c r="GT109" s="28">
        <f t="shared" si="301"/>
        <v>76008.728000000003</v>
      </c>
      <c r="GU109" s="682"/>
      <c r="GV109" s="682"/>
      <c r="GW109" s="680">
        <f t="shared" si="378"/>
        <v>76008.728000000003</v>
      </c>
      <c r="GX109" s="682"/>
      <c r="GY109" s="682">
        <f t="shared" si="302"/>
        <v>76008.728000000003</v>
      </c>
      <c r="GZ109" s="681">
        <f t="shared" si="324"/>
        <v>0.52943748126807555</v>
      </c>
      <c r="HA109" s="682"/>
      <c r="HB109" s="682"/>
      <c r="HC109" s="45"/>
      <c r="HD109" s="602"/>
      <c r="HE109" s="608">
        <f t="shared" si="303"/>
        <v>0</v>
      </c>
      <c r="HF109" s="602">
        <f t="shared" si="304"/>
        <v>3589126.7</v>
      </c>
      <c r="HG109" s="602">
        <f ca="1">IF(EE109&lt;DATEDIF(TODAY(),$HG$1,"M"),HF109,(HF109/EE109*DATEDIF(TODAY(),$HG$1,"M")))*0+70000</f>
        <v>70000</v>
      </c>
      <c r="HH109" s="608">
        <f t="shared" ca="1" si="379"/>
        <v>1.9503351609181142E-2</v>
      </c>
      <c r="HI109" s="602"/>
      <c r="HJ109" s="602">
        <f t="shared" si="349"/>
        <v>907000</v>
      </c>
      <c r="HK109" s="602">
        <f t="shared" si="348"/>
        <v>0</v>
      </c>
      <c r="HL109" s="602"/>
      <c r="HM109" s="673"/>
      <c r="HN109" s="62"/>
      <c r="HO109" s="673"/>
      <c r="HP109" s="673">
        <f t="shared" si="364"/>
        <v>0</v>
      </c>
      <c r="HQ109" s="539"/>
      <c r="HR109" s="539"/>
      <c r="HS109" s="539"/>
      <c r="HT109" s="539"/>
      <c r="HU109" s="539"/>
      <c r="HV109" s="673"/>
      <c r="HW109" s="673">
        <f>HV109+HP109+HO109+HM109</f>
        <v>0</v>
      </c>
      <c r="HX109" s="539"/>
    </row>
    <row r="110" spans="1:232" ht="15" customHeight="1">
      <c r="A110" s="58" t="s">
        <v>863</v>
      </c>
      <c r="B110" s="31" t="s">
        <v>21</v>
      </c>
      <c r="C110" s="31" t="s">
        <v>90</v>
      </c>
      <c r="D110" s="31">
        <v>2020</v>
      </c>
      <c r="E110" s="31" t="s">
        <v>770</v>
      </c>
      <c r="F110" s="74"/>
      <c r="G110" s="74"/>
      <c r="H110" s="31" t="s">
        <v>890</v>
      </c>
      <c r="I110" s="31"/>
      <c r="J110" s="31" t="s">
        <v>718</v>
      </c>
      <c r="K110" s="180" t="s">
        <v>659</v>
      </c>
      <c r="L110" s="114"/>
      <c r="M110" s="115"/>
      <c r="N110" s="116"/>
      <c r="O110" s="142">
        <f>4088/56*AD110</f>
        <v>2628</v>
      </c>
      <c r="P110" s="142">
        <f>550000/56*AD110</f>
        <v>353571.42857142852</v>
      </c>
      <c r="Q110" s="142"/>
      <c r="R110" s="142">
        <f t="shared" si="355"/>
        <v>9821.4285714285706</v>
      </c>
      <c r="S110" s="142">
        <f t="shared" si="356"/>
        <v>134.54011741682973</v>
      </c>
      <c r="T110" s="148">
        <f t="shared" si="357"/>
        <v>0</v>
      </c>
      <c r="U110" s="148">
        <f t="shared" si="358"/>
        <v>0</v>
      </c>
      <c r="V110" s="148">
        <f t="shared" si="359"/>
        <v>0</v>
      </c>
      <c r="W110" s="142">
        <f t="shared" si="360"/>
        <v>73</v>
      </c>
      <c r="X110" s="143"/>
      <c r="Y110" s="525">
        <f t="shared" si="290"/>
        <v>136.98630136986301</v>
      </c>
      <c r="Z110" s="143" t="s">
        <v>719</v>
      </c>
      <c r="AA110" s="143">
        <v>600</v>
      </c>
      <c r="AB110" s="144">
        <v>0.15</v>
      </c>
      <c r="AC110" s="31" t="s">
        <v>10</v>
      </c>
      <c r="AD110" s="493">
        <f t="shared" si="338"/>
        <v>36</v>
      </c>
      <c r="AE110" s="493">
        <f t="shared" si="291"/>
        <v>36</v>
      </c>
      <c r="AF110" s="42"/>
      <c r="AG110" s="31">
        <v>36</v>
      </c>
      <c r="AH110" s="42"/>
      <c r="AI110" s="428"/>
      <c r="AJ110" s="796">
        <v>1667.16</v>
      </c>
      <c r="AK110" s="276">
        <v>1816.85</v>
      </c>
      <c r="AL110" s="586">
        <f t="shared" si="339"/>
        <v>46.31</v>
      </c>
      <c r="AM110" s="8">
        <f t="shared" si="340"/>
        <v>50.468055555555551</v>
      </c>
      <c r="AN110" s="35"/>
      <c r="AO110" s="35"/>
      <c r="AP110" s="35"/>
      <c r="AQ110" s="53"/>
      <c r="AR110" s="53"/>
      <c r="AS110" s="53"/>
      <c r="AT110" s="53"/>
      <c r="AU110" s="53"/>
      <c r="AV110" s="35"/>
      <c r="AW110" s="51"/>
      <c r="AX110" s="53"/>
      <c r="AY110" s="35"/>
      <c r="AZ110" s="31" t="s">
        <v>398</v>
      </c>
      <c r="BA110" s="31" t="s">
        <v>98</v>
      </c>
      <c r="BB110" s="31"/>
      <c r="BC110" s="31"/>
      <c r="BD110" s="31"/>
      <c r="BE110" s="31"/>
      <c r="BF110" s="165" t="s">
        <v>860</v>
      </c>
      <c r="BG110" s="381"/>
      <c r="BH110" s="73">
        <v>43781</v>
      </c>
      <c r="BI110" s="126"/>
      <c r="BJ110" s="660"/>
      <c r="BK110" s="660"/>
      <c r="BL110" s="661"/>
      <c r="BM110" s="659">
        <f t="shared" si="341"/>
        <v>0</v>
      </c>
      <c r="BN110" s="578" t="s">
        <v>235</v>
      </c>
      <c r="BO110" s="110"/>
      <c r="BP110" s="139"/>
      <c r="BQ110" s="654">
        <f t="shared" si="325"/>
        <v>0</v>
      </c>
      <c r="BR110" s="638"/>
      <c r="BS110" s="110"/>
      <c r="BT110" s="110"/>
      <c r="BU110" s="202"/>
      <c r="BV110" s="201">
        <f t="shared" si="292"/>
        <v>731</v>
      </c>
      <c r="BW110" s="439"/>
      <c r="BX110" s="201" t="str">
        <f t="shared" si="311"/>
        <v>oui</v>
      </c>
      <c r="BY110" s="557">
        <f t="shared" si="312"/>
        <v>-1472.8</v>
      </c>
      <c r="BZ110" s="439">
        <f t="shared" si="313"/>
        <v>0</v>
      </c>
      <c r="CA110" s="439">
        <f t="shared" si="314"/>
        <v>0</v>
      </c>
      <c r="CB110" s="346">
        <v>43669</v>
      </c>
      <c r="CC110" s="341">
        <v>43669</v>
      </c>
      <c r="CD110" s="341">
        <v>43675</v>
      </c>
      <c r="CE110" s="343">
        <f>IF(AND(CC110&gt;0,CD110&gt;0),CD110-CC110,"0")</f>
        <v>6</v>
      </c>
      <c r="CF110" s="341">
        <v>43753</v>
      </c>
      <c r="CG110" s="341"/>
      <c r="CH110" s="343" t="str">
        <f>IF(AND(CF110&gt;0,CG110&gt;0),CG110-CF110,"0")</f>
        <v>0</v>
      </c>
      <c r="CI110" s="341">
        <v>43770</v>
      </c>
      <c r="CJ110" s="341"/>
      <c r="CK110" s="343" t="str">
        <f>IF(AND(CI110&gt;0,CJ110&gt;0),CJ110-CI110,"0")</f>
        <v>0</v>
      </c>
      <c r="CL110" s="341">
        <v>43845</v>
      </c>
      <c r="CM110" s="341"/>
      <c r="CN110" s="343" t="str">
        <f>IF(AND(CL110&gt;0,CM110&gt;0),CM110-CL110,"0")</f>
        <v>0</v>
      </c>
      <c r="CO110" s="341">
        <v>43891</v>
      </c>
      <c r="CP110" s="341"/>
      <c r="CQ110" s="343" t="str">
        <f t="shared" si="342"/>
        <v>0</v>
      </c>
      <c r="CR110" s="290"/>
      <c r="CS110" s="339"/>
      <c r="CT110" s="330">
        <v>44044</v>
      </c>
      <c r="CU110" s="335"/>
      <c r="CV110" s="332" t="str">
        <f t="shared" si="337"/>
        <v>0</v>
      </c>
      <c r="CW110" s="330"/>
      <c r="CX110" s="449">
        <v>44306</v>
      </c>
      <c r="CY110" s="233"/>
      <c r="CZ110" s="284">
        <f t="shared" si="327"/>
        <v>1476.8666666666666</v>
      </c>
      <c r="DA110" s="332" t="str">
        <f t="shared" si="293"/>
        <v>0</v>
      </c>
      <c r="DB110" s="450">
        <v>16</v>
      </c>
      <c r="DC110" s="169">
        <f t="shared" si="294"/>
        <v>19</v>
      </c>
      <c r="DD110" s="330"/>
      <c r="DE110" s="335">
        <f t="shared" ca="1" si="366"/>
        <v>43950</v>
      </c>
      <c r="DF110" s="332" t="str">
        <f t="shared" ca="1" si="319"/>
        <v>0</v>
      </c>
      <c r="DG110" s="330"/>
      <c r="DH110" s="348">
        <f t="shared" ca="1" si="367"/>
        <v>43950</v>
      </c>
      <c r="DI110" s="333" t="str">
        <f t="shared" ca="1" si="295"/>
        <v>0</v>
      </c>
      <c r="DJ110" s="334"/>
      <c r="DK110" s="348">
        <f t="shared" ca="1" si="368"/>
        <v>43950</v>
      </c>
      <c r="DL110" s="332" t="str">
        <f t="shared" ca="1" si="347"/>
        <v>0</v>
      </c>
      <c r="DM110" s="335"/>
      <c r="DN110" s="335">
        <f t="shared" ca="1" si="369"/>
        <v>43950</v>
      </c>
      <c r="DO110" s="332" t="str">
        <f t="shared" ca="1" si="296"/>
        <v>0</v>
      </c>
      <c r="DP110" s="336"/>
      <c r="DQ110" s="336"/>
      <c r="DR110" s="332" t="str">
        <f t="shared" si="297"/>
        <v>0</v>
      </c>
      <c r="DS110" s="335"/>
      <c r="DT110" s="335">
        <f t="shared" ca="1" si="370"/>
        <v>43950</v>
      </c>
      <c r="DU110" s="332" t="str">
        <f t="shared" ca="1" si="298"/>
        <v>0</v>
      </c>
      <c r="DV110" s="335"/>
      <c r="DW110" s="335">
        <f t="shared" ca="1" si="371"/>
        <v>43950</v>
      </c>
      <c r="DX110" s="332" t="str">
        <f t="shared" ca="1" si="299"/>
        <v>0</v>
      </c>
      <c r="DY110" s="336"/>
      <c r="DZ110" s="336"/>
      <c r="EA110" s="336"/>
      <c r="EB110" s="477">
        <f t="shared" si="350"/>
        <v>44793</v>
      </c>
      <c r="EC110" s="476">
        <f>DATE(YEAR(EB110),MONTH(EB110)+3,DAY(EB110))</f>
        <v>44885</v>
      </c>
      <c r="ED110" s="473">
        <f t="shared" si="343"/>
        <v>3.0666666666666669</v>
      </c>
      <c r="EE110" s="605">
        <f t="shared" ca="1" si="372"/>
        <v>31.166666666666668</v>
      </c>
      <c r="EF110" s="476">
        <f t="shared" ca="1" si="373"/>
        <v>44680</v>
      </c>
      <c r="EG110" s="535"/>
      <c r="EH110" s="526"/>
      <c r="EI110" s="536">
        <f t="shared" si="374"/>
        <v>45007</v>
      </c>
      <c r="EJ110" s="295"/>
      <c r="EK110" s="534">
        <f t="shared" si="363"/>
        <v>44824</v>
      </c>
      <c r="EL110" s="476">
        <f t="shared" si="375"/>
        <v>44915</v>
      </c>
      <c r="EM110" s="368"/>
      <c r="EN110" s="471">
        <f t="shared" si="376"/>
        <v>3.0333333333333332</v>
      </c>
      <c r="EO110" s="461"/>
      <c r="EP110" s="173">
        <f t="shared" si="352"/>
        <v>0</v>
      </c>
      <c r="EQ110" s="77"/>
      <c r="ER110" s="353"/>
      <c r="ES110" s="353"/>
      <c r="ET110" s="353"/>
      <c r="EU110" s="353"/>
      <c r="EV110" s="353"/>
      <c r="EW110" s="483">
        <f t="shared" si="361"/>
        <v>0</v>
      </c>
      <c r="EX110" s="350"/>
      <c r="EY110" s="362"/>
      <c r="EZ110" s="350"/>
      <c r="FA110" s="350"/>
      <c r="FB110" s="126">
        <f t="shared" ca="1" si="321"/>
        <v>44680</v>
      </c>
      <c r="FC110" s="80"/>
      <c r="FD110" s="80"/>
      <c r="FE110" s="80"/>
      <c r="FF110" s="80"/>
      <c r="FG110" s="80"/>
      <c r="FH110" s="31"/>
      <c r="FI110" s="194">
        <f t="shared" si="351"/>
        <v>45250</v>
      </c>
      <c r="FJ110" s="194"/>
      <c r="FK110" s="31"/>
      <c r="FL110" s="31"/>
      <c r="FM110" s="31"/>
      <c r="FN110" s="31"/>
      <c r="FO110" s="31"/>
      <c r="FP110" s="31"/>
      <c r="FQ110" s="31"/>
      <c r="FR110" s="31"/>
      <c r="FS110" s="31"/>
      <c r="FT110" s="31"/>
      <c r="FU110" s="31"/>
      <c r="FV110" s="31"/>
      <c r="FW110" s="31"/>
      <c r="FX110" s="529"/>
      <c r="FY110" s="652">
        <f t="shared" si="344"/>
        <v>4472124.3999999994</v>
      </c>
      <c r="FZ110" s="550">
        <f t="shared" si="365"/>
        <v>4472124.3999999994</v>
      </c>
      <c r="GA110" s="45">
        <f t="shared" si="322"/>
        <v>4472124.3999999994</v>
      </c>
      <c r="GB110" s="602">
        <f t="shared" si="377"/>
        <v>1442611.06</v>
      </c>
      <c r="GC110" s="28">
        <f t="shared" si="345"/>
        <v>2461.4714478355395</v>
      </c>
      <c r="GD110" s="28">
        <f t="shared" si="353"/>
        <v>124225.67777777776</v>
      </c>
      <c r="GE110" s="45">
        <v>1124447.8999999999</v>
      </c>
      <c r="GF110" s="417"/>
      <c r="GG110" s="28">
        <f t="shared" si="323"/>
        <v>31234.663888888885</v>
      </c>
      <c r="GH110" s="45">
        <f t="shared" si="362"/>
        <v>1905065.44</v>
      </c>
      <c r="GI110" s="59">
        <v>404381.99</v>
      </c>
      <c r="GJ110" s="59">
        <v>1500683.45</v>
      </c>
      <c r="GK110" s="407">
        <f t="shared" si="354"/>
        <v>52918.484444444446</v>
      </c>
      <c r="GL110" s="45"/>
      <c r="GM110" s="45">
        <v>1332000</v>
      </c>
      <c r="GN110" s="45"/>
      <c r="GO110" s="23">
        <f t="shared" si="346"/>
        <v>0.2978450241679324</v>
      </c>
      <c r="GP110" s="45"/>
      <c r="GQ110" s="45"/>
      <c r="GR110" s="45">
        <v>110611.06</v>
      </c>
      <c r="GS110" s="28">
        <f t="shared" si="300"/>
        <v>37000</v>
      </c>
      <c r="GT110" s="28">
        <f t="shared" si="301"/>
        <v>68234.663888888885</v>
      </c>
      <c r="GU110" s="682"/>
      <c r="GV110" s="682"/>
      <c r="GW110" s="680">
        <f t="shared" si="378"/>
        <v>68234.663888888885</v>
      </c>
      <c r="GX110" s="682"/>
      <c r="GY110" s="682">
        <f t="shared" si="302"/>
        <v>68234.663888888885</v>
      </c>
      <c r="GZ110" s="681">
        <f t="shared" si="324"/>
        <v>0.54927986797505013</v>
      </c>
      <c r="HA110" s="682"/>
      <c r="HB110" s="682"/>
      <c r="HC110" s="45"/>
      <c r="HD110" s="602"/>
      <c r="HE110" s="608">
        <f t="shared" si="303"/>
        <v>0</v>
      </c>
      <c r="HF110" s="602">
        <f t="shared" si="304"/>
        <v>4472124.3999999994</v>
      </c>
      <c r="HG110" s="602">
        <f ca="1">IF(EE110&lt;DATEDIF(TODAY(),$HG$1,"M"),HF110,(HF110/EE110*DATEDIF(TODAY(),$HG$1,"M")))*0+100000</f>
        <v>100000</v>
      </c>
      <c r="HH110" s="608">
        <f t="shared" ca="1" si="379"/>
        <v>2.2360737550145074E-2</v>
      </c>
      <c r="HI110" s="602"/>
      <c r="HJ110" s="602">
        <f t="shared" si="349"/>
        <v>1442611.06</v>
      </c>
      <c r="HK110" s="602">
        <f t="shared" si="348"/>
        <v>0</v>
      </c>
      <c r="HL110" s="602"/>
      <c r="HM110" s="673"/>
      <c r="HN110" s="62"/>
      <c r="HO110" s="673"/>
      <c r="HP110" s="673">
        <f t="shared" si="364"/>
        <v>0</v>
      </c>
      <c r="HQ110" s="539"/>
      <c r="HR110" s="539"/>
      <c r="HS110" s="539"/>
      <c r="HT110" s="539"/>
      <c r="HU110" s="539"/>
      <c r="HV110" s="673"/>
      <c r="HW110" s="673">
        <f>HV110+HP110+HO110+HM110</f>
        <v>0</v>
      </c>
      <c r="HX110" s="539"/>
    </row>
    <row r="111" spans="1:232" ht="15" customHeight="1">
      <c r="A111" s="58" t="s">
        <v>862</v>
      </c>
      <c r="B111" s="31" t="s">
        <v>21</v>
      </c>
      <c r="C111" s="31" t="s">
        <v>90</v>
      </c>
      <c r="D111" s="31">
        <v>2020</v>
      </c>
      <c r="E111" s="31" t="s">
        <v>770</v>
      </c>
      <c r="F111" s="31" t="s">
        <v>16</v>
      </c>
      <c r="G111" s="31" t="s">
        <v>337</v>
      </c>
      <c r="H111" s="31" t="s">
        <v>890</v>
      </c>
      <c r="I111" s="31"/>
      <c r="J111" s="31" t="s">
        <v>718</v>
      </c>
      <c r="K111" s="180"/>
      <c r="L111" s="114"/>
      <c r="M111" s="115"/>
      <c r="N111" s="116"/>
      <c r="O111" s="142">
        <f>4088/56*AD111</f>
        <v>1460</v>
      </c>
      <c r="P111" s="142">
        <f>550000/56*AD111</f>
        <v>196428.57142857142</v>
      </c>
      <c r="Q111" s="142"/>
      <c r="R111" s="142">
        <f t="shared" si="355"/>
        <v>9821.4285714285706</v>
      </c>
      <c r="S111" s="142">
        <f t="shared" si="356"/>
        <v>134.54011741682973</v>
      </c>
      <c r="T111" s="148">
        <f t="shared" si="357"/>
        <v>0</v>
      </c>
      <c r="U111" s="148">
        <f t="shared" si="358"/>
        <v>0</v>
      </c>
      <c r="V111" s="148">
        <f t="shared" si="359"/>
        <v>0</v>
      </c>
      <c r="W111" s="142">
        <f t="shared" si="360"/>
        <v>73</v>
      </c>
      <c r="X111" s="143"/>
      <c r="Y111" s="525">
        <f t="shared" si="290"/>
        <v>136.98630136986301</v>
      </c>
      <c r="Z111" s="143" t="s">
        <v>719</v>
      </c>
      <c r="AA111" s="143">
        <v>600</v>
      </c>
      <c r="AB111" s="144">
        <v>0.15</v>
      </c>
      <c r="AC111" s="32" t="s">
        <v>9</v>
      </c>
      <c r="AD111" s="493">
        <f t="shared" si="338"/>
        <v>20</v>
      </c>
      <c r="AE111" s="493">
        <f t="shared" si="291"/>
        <v>20</v>
      </c>
      <c r="AF111" s="31">
        <v>20</v>
      </c>
      <c r="AG111" s="42"/>
      <c r="AH111" s="42"/>
      <c r="AI111" s="42"/>
      <c r="AJ111" s="797">
        <v>935.05</v>
      </c>
      <c r="AK111" s="276">
        <v>975.5</v>
      </c>
      <c r="AL111" s="586">
        <f t="shared" si="339"/>
        <v>46.752499999999998</v>
      </c>
      <c r="AM111" s="35">
        <f t="shared" si="340"/>
        <v>48.774999999999999</v>
      </c>
      <c r="AN111" s="35"/>
      <c r="AO111" s="35"/>
      <c r="AP111" s="35"/>
      <c r="AQ111" s="53"/>
      <c r="AR111" s="53"/>
      <c r="AS111" s="53"/>
      <c r="AT111" s="53"/>
      <c r="AU111" s="53"/>
      <c r="AV111" s="35"/>
      <c r="AW111" s="51"/>
      <c r="AX111" s="51"/>
      <c r="AY111" s="35"/>
      <c r="AZ111" s="31" t="s">
        <v>398</v>
      </c>
      <c r="BA111" s="31" t="s">
        <v>98</v>
      </c>
      <c r="BB111" s="160"/>
      <c r="BC111" s="31"/>
      <c r="BD111" s="388"/>
      <c r="BE111" s="388"/>
      <c r="BF111" s="126"/>
      <c r="BG111" s="126"/>
      <c r="BH111" s="73">
        <v>43781</v>
      </c>
      <c r="BI111" s="31"/>
      <c r="BJ111" s="660"/>
      <c r="BK111" s="660"/>
      <c r="BL111" s="661"/>
      <c r="BM111" s="659">
        <f t="shared" si="341"/>
        <v>0</v>
      </c>
      <c r="BN111" s="578" t="s">
        <v>235</v>
      </c>
      <c r="BO111" s="110"/>
      <c r="BP111" s="139"/>
      <c r="BQ111" s="654">
        <f t="shared" si="325"/>
        <v>0</v>
      </c>
      <c r="BR111" s="638"/>
      <c r="BS111" s="110"/>
      <c r="BT111" s="110"/>
      <c r="BU111" s="202"/>
      <c r="BV111" s="201">
        <f t="shared" si="292"/>
        <v>731</v>
      </c>
      <c r="BW111" s="439"/>
      <c r="BX111" s="201" t="str">
        <f t="shared" si="311"/>
        <v>oui</v>
      </c>
      <c r="BY111" s="557">
        <f t="shared" si="312"/>
        <v>-1472.8</v>
      </c>
      <c r="BZ111" s="439">
        <f t="shared" si="313"/>
        <v>0</v>
      </c>
      <c r="CA111" s="439">
        <f t="shared" si="314"/>
        <v>0</v>
      </c>
      <c r="CB111" s="81"/>
      <c r="CC111" s="81"/>
      <c r="CD111" s="81"/>
      <c r="CE111" s="326"/>
      <c r="CF111" s="81"/>
      <c r="CG111" s="81"/>
      <c r="CH111" s="326"/>
      <c r="CI111" s="81"/>
      <c r="CJ111" s="81"/>
      <c r="CK111" s="326"/>
      <c r="CL111" s="341"/>
      <c r="CM111" s="341"/>
      <c r="CN111" s="343"/>
      <c r="CO111" s="341"/>
      <c r="CP111" s="341"/>
      <c r="CQ111" s="343" t="str">
        <f t="shared" si="342"/>
        <v>0</v>
      </c>
      <c r="CR111" s="290"/>
      <c r="CS111" s="341"/>
      <c r="CT111" s="330"/>
      <c r="CU111" s="331"/>
      <c r="CV111" s="332" t="str">
        <f t="shared" si="337"/>
        <v>0</v>
      </c>
      <c r="CW111" s="498"/>
      <c r="CX111" s="449">
        <v>44306</v>
      </c>
      <c r="CY111" s="233"/>
      <c r="CZ111" s="284">
        <f t="shared" si="327"/>
        <v>1476.8666666666666</v>
      </c>
      <c r="DA111" s="332" t="str">
        <f t="shared" si="293"/>
        <v>0</v>
      </c>
      <c r="DB111" s="450">
        <v>16</v>
      </c>
      <c r="DC111" s="169">
        <f t="shared" si="294"/>
        <v>19</v>
      </c>
      <c r="DD111" s="330"/>
      <c r="DE111" s="335">
        <f t="shared" ca="1" si="366"/>
        <v>43950</v>
      </c>
      <c r="DF111" s="332" t="str">
        <f t="shared" ca="1" si="319"/>
        <v>0</v>
      </c>
      <c r="DG111" s="330"/>
      <c r="DH111" s="348">
        <f t="shared" ca="1" si="367"/>
        <v>43950</v>
      </c>
      <c r="DI111" s="333" t="str">
        <f t="shared" ca="1" si="295"/>
        <v>0</v>
      </c>
      <c r="DJ111" s="334"/>
      <c r="DK111" s="348">
        <f t="shared" ca="1" si="368"/>
        <v>43950</v>
      </c>
      <c r="DL111" s="332" t="str">
        <f t="shared" ca="1" si="347"/>
        <v>0</v>
      </c>
      <c r="DM111" s="335"/>
      <c r="DN111" s="335">
        <f t="shared" ca="1" si="369"/>
        <v>43950</v>
      </c>
      <c r="DO111" s="332" t="str">
        <f t="shared" ca="1" si="296"/>
        <v>0</v>
      </c>
      <c r="DP111" s="336"/>
      <c r="DQ111" s="336"/>
      <c r="DR111" s="332" t="str">
        <f t="shared" si="297"/>
        <v>0</v>
      </c>
      <c r="DS111" s="335"/>
      <c r="DT111" s="335">
        <f t="shared" ca="1" si="370"/>
        <v>43950</v>
      </c>
      <c r="DU111" s="332" t="str">
        <f t="shared" ca="1" si="298"/>
        <v>0</v>
      </c>
      <c r="DV111" s="335"/>
      <c r="DW111" s="335">
        <f t="shared" ca="1" si="371"/>
        <v>43950</v>
      </c>
      <c r="DX111" s="332" t="str">
        <f t="shared" ca="1" si="299"/>
        <v>0</v>
      </c>
      <c r="DY111" s="335"/>
      <c r="DZ111" s="335"/>
      <c r="EA111" s="335"/>
      <c r="EB111" s="477">
        <f t="shared" si="350"/>
        <v>44793</v>
      </c>
      <c r="EC111" s="476">
        <f>DATE(YEAR(EB111),MONTH(EB111)+3,DAY(EB111))</f>
        <v>44885</v>
      </c>
      <c r="ED111" s="473">
        <f t="shared" si="343"/>
        <v>3.0666666666666669</v>
      </c>
      <c r="EE111" s="605">
        <f t="shared" ca="1" si="372"/>
        <v>31.166666666666668</v>
      </c>
      <c r="EF111" s="476">
        <f t="shared" ca="1" si="373"/>
        <v>44680</v>
      </c>
      <c r="EG111" s="535"/>
      <c r="EH111" s="526"/>
      <c r="EI111" s="536">
        <f t="shared" si="374"/>
        <v>45007</v>
      </c>
      <c r="EJ111" s="295"/>
      <c r="EK111" s="534"/>
      <c r="EL111" s="476">
        <f t="shared" si="375"/>
        <v>44915</v>
      </c>
      <c r="EM111" s="368"/>
      <c r="EN111" s="471">
        <f t="shared" si="376"/>
        <v>1497.1666666666667</v>
      </c>
      <c r="EO111" s="461"/>
      <c r="EP111" s="173">
        <f t="shared" si="352"/>
        <v>0</v>
      </c>
      <c r="EQ111" s="77"/>
      <c r="ER111" s="353"/>
      <c r="ES111" s="353"/>
      <c r="ET111" s="353"/>
      <c r="EU111" s="353"/>
      <c r="EV111" s="353"/>
      <c r="EW111" s="483">
        <f t="shared" si="361"/>
        <v>0</v>
      </c>
      <c r="EX111" s="350"/>
      <c r="EY111" s="362"/>
      <c r="EZ111" s="350"/>
      <c r="FA111" s="350"/>
      <c r="FB111" s="126"/>
      <c r="FC111" s="80"/>
      <c r="FD111" s="80"/>
      <c r="FE111" s="80"/>
      <c r="FF111" s="80"/>
      <c r="FG111" s="80"/>
      <c r="FH111" s="31"/>
      <c r="FI111" s="194">
        <f t="shared" si="351"/>
        <v>45250</v>
      </c>
      <c r="FJ111" s="194"/>
      <c r="FK111" s="31"/>
      <c r="FL111" s="31"/>
      <c r="FM111" s="31"/>
      <c r="FN111" s="31"/>
      <c r="FO111" s="31"/>
      <c r="FP111" s="31"/>
      <c r="FQ111" s="31"/>
      <c r="FR111" s="31"/>
      <c r="FS111" s="31"/>
      <c r="FT111" s="31"/>
      <c r="FU111" s="31"/>
      <c r="FV111" s="31"/>
      <c r="FW111" s="31"/>
      <c r="FX111" s="529"/>
      <c r="FY111" s="652">
        <f t="shared" si="344"/>
        <v>2461350.7899999996</v>
      </c>
      <c r="FZ111" s="500">
        <f t="shared" si="365"/>
        <v>2461350.7899999996</v>
      </c>
      <c r="GA111" s="45">
        <f t="shared" si="322"/>
        <v>2461350.7899999996</v>
      </c>
      <c r="GB111" s="602">
        <f t="shared" si="377"/>
        <v>519388.94</v>
      </c>
      <c r="GC111" s="28">
        <f t="shared" si="345"/>
        <v>2523.1684161968219</v>
      </c>
      <c r="GD111" s="28">
        <f t="shared" si="353"/>
        <v>123067.53949999998</v>
      </c>
      <c r="GE111" s="45">
        <v>706185.28</v>
      </c>
      <c r="GF111" s="417"/>
      <c r="GG111" s="28">
        <f t="shared" si="323"/>
        <v>35309.264000000003</v>
      </c>
      <c r="GH111" s="45">
        <f t="shared" si="362"/>
        <v>1235776.5699999998</v>
      </c>
      <c r="GI111" s="59">
        <v>283888.09999999998</v>
      </c>
      <c r="GJ111" s="59">
        <v>951888.47</v>
      </c>
      <c r="GK111" s="408">
        <f t="shared" si="354"/>
        <v>61788.828499999989</v>
      </c>
      <c r="GL111" s="45"/>
      <c r="GM111" s="45">
        <v>460000</v>
      </c>
      <c r="GN111" s="45"/>
      <c r="GO111" s="60">
        <f t="shared" si="346"/>
        <v>0.18688924872833754</v>
      </c>
      <c r="GP111" s="45"/>
      <c r="GQ111" s="45"/>
      <c r="GR111" s="45">
        <v>59388.94</v>
      </c>
      <c r="GS111" s="28">
        <f t="shared" si="300"/>
        <v>23000</v>
      </c>
      <c r="GT111" s="28">
        <f t="shared" si="301"/>
        <v>58309.264000000003</v>
      </c>
      <c r="GU111" s="682"/>
      <c r="GV111" s="682"/>
      <c r="GW111" s="682">
        <f t="shared" si="378"/>
        <v>58309.264000000003</v>
      </c>
      <c r="GX111" s="682"/>
      <c r="GY111" s="682">
        <f t="shared" si="302"/>
        <v>58309.264000000003</v>
      </c>
      <c r="GZ111" s="681">
        <f t="shared" si="324"/>
        <v>0.47379889316792601</v>
      </c>
      <c r="HA111" s="682"/>
      <c r="HB111" s="682"/>
      <c r="HC111" s="45"/>
      <c r="HD111" s="602"/>
      <c r="HE111" s="608">
        <f t="shared" si="303"/>
        <v>0</v>
      </c>
      <c r="HF111" s="602">
        <f t="shared" si="304"/>
        <v>2461350.7899999996</v>
      </c>
      <c r="HG111" s="602">
        <f ca="1">IF(EE111&lt;DATEDIF(TODAY(),$HG$1,"M"),HF111,(HF111/EE111*DATEDIF(TODAY(),$HG$1,"M")))*0+100000</f>
        <v>100000</v>
      </c>
      <c r="HH111" s="608">
        <f t="shared" ca="1" si="379"/>
        <v>4.0628097549638593E-2</v>
      </c>
      <c r="HI111" s="602"/>
      <c r="HJ111" s="602">
        <f t="shared" si="349"/>
        <v>519388.94</v>
      </c>
      <c r="HK111" s="602">
        <f t="shared" si="348"/>
        <v>0</v>
      </c>
      <c r="HL111" s="602"/>
      <c r="HM111" s="673"/>
      <c r="HN111" s="62"/>
      <c r="HO111" s="673"/>
      <c r="HP111" s="673"/>
      <c r="HQ111" s="539"/>
      <c r="HR111" s="539"/>
      <c r="HS111" s="539"/>
      <c r="HT111" s="539"/>
      <c r="HU111" s="539"/>
      <c r="HV111" s="673"/>
      <c r="HW111" s="673"/>
      <c r="HX111" s="539"/>
    </row>
    <row r="112" spans="1:232" ht="15" customHeight="1">
      <c r="A112" s="560" t="s">
        <v>377</v>
      </c>
      <c r="B112" s="31" t="s">
        <v>20</v>
      </c>
      <c r="C112" s="31" t="s">
        <v>91</v>
      </c>
      <c r="D112" s="31">
        <v>2017</v>
      </c>
      <c r="E112" s="31" t="s">
        <v>289</v>
      </c>
      <c r="F112" s="31" t="s">
        <v>309</v>
      </c>
      <c r="G112" s="31" t="s">
        <v>143</v>
      </c>
      <c r="H112" s="33" t="s">
        <v>140</v>
      </c>
      <c r="I112" s="31"/>
      <c r="J112" s="31" t="s">
        <v>300</v>
      </c>
      <c r="K112" s="180" t="s">
        <v>430</v>
      </c>
      <c r="L112" s="114"/>
      <c r="M112" s="115"/>
      <c r="N112" s="116"/>
      <c r="O112" s="142">
        <v>11037</v>
      </c>
      <c r="P112" s="142">
        <v>705655.44208162103</v>
      </c>
      <c r="Q112" s="142"/>
      <c r="R112" s="142">
        <f t="shared" si="355"/>
        <v>8400.6600247812021</v>
      </c>
      <c r="S112" s="142">
        <f t="shared" si="356"/>
        <v>63.935439166587031</v>
      </c>
      <c r="T112" s="148">
        <f t="shared" si="357"/>
        <v>0</v>
      </c>
      <c r="U112" s="148">
        <f t="shared" si="358"/>
        <v>0</v>
      </c>
      <c r="V112" s="148">
        <f t="shared" si="359"/>
        <v>0</v>
      </c>
      <c r="W112" s="142">
        <f t="shared" si="360"/>
        <v>131.39285714285714</v>
      </c>
      <c r="X112" s="143"/>
      <c r="Y112" s="522">
        <f t="shared" si="290"/>
        <v>76.107637945093771</v>
      </c>
      <c r="Z112" s="143"/>
      <c r="AA112" s="143"/>
      <c r="AB112" s="144"/>
      <c r="AC112" s="31" t="s">
        <v>10</v>
      </c>
      <c r="AD112" s="493">
        <f t="shared" si="338"/>
        <v>84</v>
      </c>
      <c r="AE112" s="493">
        <f t="shared" si="291"/>
        <v>84</v>
      </c>
      <c r="AF112" s="42"/>
      <c r="AG112" s="31">
        <v>84</v>
      </c>
      <c r="AH112" s="31"/>
      <c r="AI112" s="31"/>
      <c r="AJ112" s="796"/>
      <c r="AK112" s="276">
        <v>6502.48</v>
      </c>
      <c r="AL112" s="586">
        <f t="shared" si="339"/>
        <v>0</v>
      </c>
      <c r="AM112" s="8">
        <f t="shared" si="340"/>
        <v>77.410476190476189</v>
      </c>
      <c r="AN112" s="35">
        <v>6.01</v>
      </c>
      <c r="AO112" s="35">
        <v>5.37</v>
      </c>
      <c r="AP112" s="35">
        <v>412.03</v>
      </c>
      <c r="AQ112" s="53"/>
      <c r="AR112" s="53"/>
      <c r="AS112" s="53"/>
      <c r="AT112" s="53"/>
      <c r="AU112" s="53"/>
      <c r="AV112" s="35"/>
      <c r="AW112" s="124"/>
      <c r="AX112" s="70"/>
      <c r="AY112" s="35"/>
      <c r="AZ112" s="34" t="s">
        <v>398</v>
      </c>
      <c r="BA112" s="31" t="s">
        <v>98</v>
      </c>
      <c r="BB112" s="74"/>
      <c r="BC112" s="74"/>
      <c r="BD112" s="74"/>
      <c r="BE112" s="74"/>
      <c r="BF112" s="165" t="s">
        <v>376</v>
      </c>
      <c r="BG112" s="165"/>
      <c r="BH112" s="126">
        <v>42783</v>
      </c>
      <c r="BI112" s="788"/>
      <c r="BJ112" s="660">
        <v>42824</v>
      </c>
      <c r="BK112" s="660">
        <v>42929</v>
      </c>
      <c r="BL112" s="661">
        <v>43010</v>
      </c>
      <c r="BM112" s="659">
        <f t="shared" si="341"/>
        <v>3.5</v>
      </c>
      <c r="BN112" s="578" t="s">
        <v>235</v>
      </c>
      <c r="BO112" s="452"/>
      <c r="BP112" s="139"/>
      <c r="BQ112" s="654">
        <f t="shared" si="325"/>
        <v>0</v>
      </c>
      <c r="BR112" s="638"/>
      <c r="BS112" s="110">
        <f>DATE(YEAR(BP112),MONTH(BP112)+3,DAY(BP112))</f>
        <v>91</v>
      </c>
      <c r="BT112" s="110"/>
      <c r="BU112" s="202"/>
      <c r="BV112" s="201">
        <f t="shared" si="292"/>
        <v>731</v>
      </c>
      <c r="BW112" s="439"/>
      <c r="BX112" s="201" t="str">
        <f t="shared" si="311"/>
        <v>oui</v>
      </c>
      <c r="BY112" s="557">
        <f t="shared" si="312"/>
        <v>-1473.8333333333333</v>
      </c>
      <c r="BZ112" s="439" t="str">
        <f t="shared" si="313"/>
        <v>0</v>
      </c>
      <c r="CA112" s="439">
        <f t="shared" si="314"/>
        <v>0</v>
      </c>
      <c r="CB112" s="214"/>
      <c r="CC112" s="81"/>
      <c r="CD112" s="81"/>
      <c r="CE112" s="343" t="str">
        <f t="shared" ref="CE112:CE123" si="380">IF(AND(CC112&gt;0,CD112&gt;0),CD112-CC112,"0")</f>
        <v>0</v>
      </c>
      <c r="CF112" s="81"/>
      <c r="CG112" s="81"/>
      <c r="CH112" s="326" t="str">
        <f t="shared" ref="CH112:CH123" si="381">IF(AND(CF112&gt;0,CG112&gt;0),CG112-CF112,"0")</f>
        <v>0</v>
      </c>
      <c r="CI112" s="214"/>
      <c r="CJ112" s="214"/>
      <c r="CK112" s="326" t="str">
        <f t="shared" ref="CK112:CK123" si="382">IF(AND(CI112&gt;0,CJ112&gt;0),CJ112-CI112,"0")</f>
        <v>0</v>
      </c>
      <c r="CL112" s="81"/>
      <c r="CM112" s="81"/>
      <c r="CN112" s="326" t="str">
        <f t="shared" ref="CN112:CN123" si="383">IF(AND(CL112&gt;0,CM112&gt;0),CM112-CL112,"0")</f>
        <v>0</v>
      </c>
      <c r="CO112" s="214"/>
      <c r="CP112" s="214"/>
      <c r="CQ112" s="326" t="str">
        <f t="shared" si="342"/>
        <v>0</v>
      </c>
      <c r="CR112" s="290"/>
      <c r="CS112" s="345"/>
      <c r="CT112" s="337"/>
      <c r="CU112" s="335"/>
      <c r="CV112" s="332" t="str">
        <f t="shared" si="337"/>
        <v>0</v>
      </c>
      <c r="CW112" s="847"/>
      <c r="CX112" s="449">
        <v>44063</v>
      </c>
      <c r="CY112" s="233"/>
      <c r="CZ112" s="284">
        <f t="shared" si="327"/>
        <v>37.799999999999997</v>
      </c>
      <c r="DA112" s="332" t="str">
        <f t="shared" si="293"/>
        <v>0</v>
      </c>
      <c r="DB112" s="450">
        <v>24</v>
      </c>
      <c r="DC112" s="169">
        <f t="shared" si="294"/>
        <v>28</v>
      </c>
      <c r="DD112" s="330">
        <v>43793</v>
      </c>
      <c r="DE112" s="335">
        <f t="shared" ca="1" si="366"/>
        <v>43950</v>
      </c>
      <c r="DF112" s="332">
        <f t="shared" ca="1" si="319"/>
        <v>157</v>
      </c>
      <c r="DG112" s="330">
        <f>DATE(YEAR(DD112),MONTH(DD112)+2,DAY(DD112))</f>
        <v>43854</v>
      </c>
      <c r="DH112" s="348">
        <f t="shared" ca="1" si="367"/>
        <v>43950</v>
      </c>
      <c r="DI112" s="333">
        <f t="shared" ca="1" si="295"/>
        <v>96</v>
      </c>
      <c r="DJ112" s="335"/>
      <c r="DK112" s="348">
        <f t="shared" ca="1" si="368"/>
        <v>43950</v>
      </c>
      <c r="DL112" s="332" t="str">
        <f t="shared" ca="1" si="347"/>
        <v>0</v>
      </c>
      <c r="DM112" s="335"/>
      <c r="DN112" s="335">
        <f t="shared" ca="1" si="369"/>
        <v>43950</v>
      </c>
      <c r="DO112" s="332" t="str">
        <f t="shared" ca="1" si="296"/>
        <v>0</v>
      </c>
      <c r="DP112" s="336"/>
      <c r="DQ112" s="336"/>
      <c r="DR112" s="332" t="str">
        <f t="shared" si="297"/>
        <v>0</v>
      </c>
      <c r="DS112" s="335"/>
      <c r="DT112" s="335">
        <f t="shared" ca="1" si="370"/>
        <v>43950</v>
      </c>
      <c r="DU112" s="332" t="str">
        <f t="shared" ca="1" si="298"/>
        <v>0</v>
      </c>
      <c r="DV112" s="335"/>
      <c r="DW112" s="335">
        <f t="shared" ca="1" si="371"/>
        <v>43950</v>
      </c>
      <c r="DX112" s="332" t="str">
        <f t="shared" ca="1" si="299"/>
        <v>0</v>
      </c>
      <c r="DY112" s="335"/>
      <c r="DZ112" s="335"/>
      <c r="EA112" s="335"/>
      <c r="EB112" s="477">
        <f t="shared" si="350"/>
        <v>44793</v>
      </c>
      <c r="EC112" s="476">
        <f>DATE(YEAR(EB112),MONTH(EB112)+4,DAY(EB112))</f>
        <v>44915</v>
      </c>
      <c r="ED112" s="473">
        <f t="shared" si="343"/>
        <v>4.0666666666666664</v>
      </c>
      <c r="EE112" s="605">
        <f t="shared" ca="1" si="372"/>
        <v>32.166666666666664</v>
      </c>
      <c r="EF112" s="476">
        <f t="shared" ca="1" si="373"/>
        <v>44680</v>
      </c>
      <c r="EG112" s="535"/>
      <c r="EH112" s="526"/>
      <c r="EI112" s="536"/>
      <c r="EJ112" s="295"/>
      <c r="EK112" s="534">
        <f t="shared" ref="EK112:EK152" si="384">DATE(YEAR(EB112),MONTH(EB112)+1,DAY(EB112))</f>
        <v>44824</v>
      </c>
      <c r="EL112" s="476">
        <f t="shared" si="375"/>
        <v>44946</v>
      </c>
      <c r="EM112" s="368"/>
      <c r="EN112" s="471">
        <f>(DATEDIF(EK112,EL112,"d"))/30</f>
        <v>4.0666666666666664</v>
      </c>
      <c r="EO112" s="461">
        <v>34578</v>
      </c>
      <c r="EP112" s="173">
        <f t="shared" si="352"/>
        <v>140617.19999999998</v>
      </c>
      <c r="EQ112" s="77"/>
      <c r="ER112" s="353">
        <v>0</v>
      </c>
      <c r="ES112" s="353">
        <v>0</v>
      </c>
      <c r="ET112" s="353"/>
      <c r="EU112" s="353"/>
      <c r="EV112" s="353"/>
      <c r="EW112" s="483">
        <f t="shared" si="361"/>
        <v>0</v>
      </c>
      <c r="EX112" s="350"/>
      <c r="EY112" s="362"/>
      <c r="EZ112" s="362" t="s">
        <v>516</v>
      </c>
      <c r="FA112" s="74"/>
      <c r="FB112" s="126">
        <f t="shared" ref="FB112:FB152" ca="1" si="385">DATE(YEAR(DH112),MONTH(DH112)+24,DAY(DH112))</f>
        <v>44680</v>
      </c>
      <c r="FC112" s="80"/>
      <c r="FD112" s="80"/>
      <c r="FE112" s="80"/>
      <c r="FF112" s="80"/>
      <c r="FG112" s="80"/>
      <c r="FH112" s="31"/>
      <c r="FI112" s="194">
        <f t="shared" si="351"/>
        <v>45280</v>
      </c>
      <c r="FJ112" s="194"/>
      <c r="FK112" s="31"/>
      <c r="FL112" s="31"/>
      <c r="FM112" s="31"/>
      <c r="FN112" s="31"/>
      <c r="FO112" s="31"/>
      <c r="FP112" s="31"/>
      <c r="FQ112" s="31"/>
      <c r="FR112" s="31"/>
      <c r="FS112" s="31"/>
      <c r="FT112" s="31"/>
      <c r="FU112" s="31"/>
      <c r="FV112" s="31"/>
      <c r="FW112" s="31"/>
      <c r="FX112" s="529"/>
      <c r="FY112" s="652">
        <f t="shared" si="344"/>
        <v>13426540.392222375</v>
      </c>
      <c r="FZ112" s="550">
        <f t="shared" si="365"/>
        <v>13426540.392222375</v>
      </c>
      <c r="GA112" s="45">
        <f t="shared" si="322"/>
        <v>13426540.392222375</v>
      </c>
      <c r="GB112" s="602">
        <f>GM112+GN112+GR112+GQ112+GV112+GX112</f>
        <v>1561645.3922223744</v>
      </c>
      <c r="GC112" s="28">
        <f t="shared" si="345"/>
        <v>2064.8337852976674</v>
      </c>
      <c r="GD112" s="28">
        <f t="shared" si="353"/>
        <v>159839.76657407588</v>
      </c>
      <c r="GE112" s="775">
        <v>4528285</v>
      </c>
      <c r="GF112" s="417"/>
      <c r="GG112" s="61">
        <f t="shared" si="323"/>
        <v>53908.154761904763</v>
      </c>
      <c r="GH112" s="775">
        <f t="shared" si="362"/>
        <v>7336610</v>
      </c>
      <c r="GI112" s="624">
        <v>1222786</v>
      </c>
      <c r="GJ112" s="624">
        <v>6113824</v>
      </c>
      <c r="GK112" s="407">
        <f t="shared" si="354"/>
        <v>87340.595238095237</v>
      </c>
      <c r="GL112" s="827"/>
      <c r="GM112" s="45">
        <v>1512000</v>
      </c>
      <c r="GN112" s="45"/>
      <c r="GO112" s="23">
        <f t="shared" si="346"/>
        <v>0.11261277706920392</v>
      </c>
      <c r="GP112" s="60"/>
      <c r="GQ112" s="60"/>
      <c r="GR112" s="45">
        <v>49645.392222374365</v>
      </c>
      <c r="GS112" s="28">
        <f t="shared" si="300"/>
        <v>18000</v>
      </c>
      <c r="GT112" s="28">
        <f t="shared" si="301"/>
        <v>71908.154761904763</v>
      </c>
      <c r="GU112" s="682"/>
      <c r="GV112" s="682"/>
      <c r="GW112" s="682">
        <f t="shared" si="378"/>
        <v>71908.154761904763</v>
      </c>
      <c r="GX112" s="682"/>
      <c r="GY112" s="682">
        <f t="shared" si="302"/>
        <v>71908.154761904763</v>
      </c>
      <c r="GZ112" s="681">
        <f t="shared" si="324"/>
        <v>0.44987650009223307</v>
      </c>
      <c r="HA112" s="682"/>
      <c r="HB112" s="682"/>
      <c r="HC112" s="45">
        <f>ES112</f>
        <v>0</v>
      </c>
      <c r="HD112" s="610">
        <v>1253915</v>
      </c>
      <c r="HE112" s="608">
        <f t="shared" si="303"/>
        <v>9.3390774046779645E-2</v>
      </c>
      <c r="HF112" s="602">
        <f t="shared" si="304"/>
        <v>12172625.392222375</v>
      </c>
      <c r="HG112" s="602">
        <f ca="1">4610000*1.021/EE112*DATEDIF(TODAY(),$HG$1,"M")*0+700000</f>
        <v>700000</v>
      </c>
      <c r="HH112" s="608">
        <f ca="1">(HG112+HD112)/FZ112</f>
        <v>0.14552631898622589</v>
      </c>
      <c r="HI112" s="602">
        <f>'[1]GLOBAL OPERATION'!$AG$68</f>
        <v>27200</v>
      </c>
      <c r="HJ112" s="602">
        <f t="shared" si="349"/>
        <v>1534445.3922223744</v>
      </c>
      <c r="HK112" s="608">
        <f t="shared" si="348"/>
        <v>1.7417526498311971E-2</v>
      </c>
      <c r="HL112" s="647" t="s">
        <v>774</v>
      </c>
      <c r="HM112" s="673"/>
      <c r="HN112" s="62"/>
      <c r="HO112" s="673"/>
      <c r="HP112" s="673">
        <f t="shared" ref="HP112:HP126" si="386">HQ112+HR112+HS112+HT112+HU112</f>
        <v>0</v>
      </c>
      <c r="HQ112" s="539"/>
      <c r="HR112" s="539"/>
      <c r="HS112" s="539"/>
      <c r="HT112" s="539"/>
      <c r="HU112" s="539"/>
      <c r="HV112" s="673"/>
      <c r="HW112" s="673">
        <f>HV112+HP112+HO112+HM112</f>
        <v>0</v>
      </c>
      <c r="HX112" s="539"/>
    </row>
    <row r="113" spans="1:232" ht="15" customHeight="1">
      <c r="A113" s="650" t="s">
        <v>298</v>
      </c>
      <c r="B113" s="31" t="s">
        <v>20</v>
      </c>
      <c r="C113" s="31" t="s">
        <v>91</v>
      </c>
      <c r="D113" s="31">
        <v>2018</v>
      </c>
      <c r="E113" s="31" t="s">
        <v>415</v>
      </c>
      <c r="F113" s="31" t="s">
        <v>309</v>
      </c>
      <c r="G113" s="31" t="s">
        <v>143</v>
      </c>
      <c r="H113" s="33" t="s">
        <v>140</v>
      </c>
      <c r="I113" s="31"/>
      <c r="J113" s="31" t="s">
        <v>300</v>
      </c>
      <c r="K113" s="180" t="s">
        <v>430</v>
      </c>
      <c r="L113" s="114"/>
      <c r="M113" s="115"/>
      <c r="N113" s="116"/>
      <c r="O113" s="142">
        <f>10872*0.44</f>
        <v>4783.68</v>
      </c>
      <c r="P113" s="142">
        <v>230090</v>
      </c>
      <c r="Q113" s="142"/>
      <c r="R113" s="142">
        <f t="shared" si="355"/>
        <v>10458.636363636364</v>
      </c>
      <c r="S113" s="142">
        <f t="shared" si="356"/>
        <v>48.098953107231253</v>
      </c>
      <c r="T113" s="148">
        <f t="shared" si="357"/>
        <v>0</v>
      </c>
      <c r="U113" s="148">
        <f t="shared" si="358"/>
        <v>0</v>
      </c>
      <c r="V113" s="148">
        <f t="shared" si="359"/>
        <v>0</v>
      </c>
      <c r="W113" s="142">
        <f t="shared" si="360"/>
        <v>217.44000000000003</v>
      </c>
      <c r="X113" s="143"/>
      <c r="Y113" s="525">
        <f t="shared" si="290"/>
        <v>45.989698307579097</v>
      </c>
      <c r="Z113" s="143"/>
      <c r="AA113" s="143"/>
      <c r="AB113" s="144"/>
      <c r="AC113" s="31" t="s">
        <v>9</v>
      </c>
      <c r="AD113" s="493">
        <f t="shared" si="338"/>
        <v>22</v>
      </c>
      <c r="AE113" s="493">
        <f t="shared" si="291"/>
        <v>22</v>
      </c>
      <c r="AF113" s="31">
        <v>22</v>
      </c>
      <c r="AG113" s="42"/>
      <c r="AH113" s="42"/>
      <c r="AI113" s="42"/>
      <c r="AJ113" s="796">
        <v>2034.59</v>
      </c>
      <c r="AK113" s="276">
        <v>2079.59</v>
      </c>
      <c r="AL113" s="586">
        <f t="shared" si="339"/>
        <v>92.481363636363639</v>
      </c>
      <c r="AM113" s="8">
        <f t="shared" si="340"/>
        <v>94.526818181818186</v>
      </c>
      <c r="AN113" s="35">
        <v>6.48</v>
      </c>
      <c r="AO113" s="35">
        <v>6.34</v>
      </c>
      <c r="AP113" s="35">
        <v>599.32000000000005</v>
      </c>
      <c r="AQ113" s="418"/>
      <c r="AR113" s="418"/>
      <c r="AS113" s="418"/>
      <c r="AT113" s="53">
        <f>12/AD113</f>
        <v>0.54545454545454541</v>
      </c>
      <c r="AU113" s="53">
        <f>10/AD113</f>
        <v>0.45454545454545453</v>
      </c>
      <c r="AV113" s="35"/>
      <c r="AW113" s="51"/>
      <c r="AX113" s="53"/>
      <c r="AY113" s="35"/>
      <c r="AZ113" s="34" t="s">
        <v>398</v>
      </c>
      <c r="BA113" s="31" t="s">
        <v>98</v>
      </c>
      <c r="BB113" s="31"/>
      <c r="BC113" s="31"/>
      <c r="BD113" s="31"/>
      <c r="BE113" s="31"/>
      <c r="BF113" s="165" t="s">
        <v>401</v>
      </c>
      <c r="BG113" s="165"/>
      <c r="BH113" s="73">
        <v>43308</v>
      </c>
      <c r="BI113" s="381">
        <v>43713</v>
      </c>
      <c r="BJ113" s="660">
        <v>43189</v>
      </c>
      <c r="BK113" s="660">
        <v>43334</v>
      </c>
      <c r="BL113" s="661"/>
      <c r="BM113" s="659">
        <f t="shared" si="341"/>
        <v>4.833333333333333</v>
      </c>
      <c r="BN113" s="578" t="s">
        <v>235</v>
      </c>
      <c r="BO113" s="452"/>
      <c r="BP113" s="139"/>
      <c r="BQ113" s="654">
        <f t="shared" si="325"/>
        <v>0</v>
      </c>
      <c r="BR113" s="638"/>
      <c r="BS113" s="110">
        <f>DATE(YEAR(BP113),MONTH(BP113)+3,DAY(BP113))</f>
        <v>91</v>
      </c>
      <c r="BT113" s="110"/>
      <c r="BU113" s="202"/>
      <c r="BV113" s="201">
        <f t="shared" si="292"/>
        <v>731</v>
      </c>
      <c r="BW113" s="439"/>
      <c r="BX113" s="201" t="str">
        <f t="shared" si="311"/>
        <v>oui</v>
      </c>
      <c r="BY113" s="557">
        <f t="shared" si="312"/>
        <v>-1473.8333333333333</v>
      </c>
      <c r="BZ113" s="439" t="str">
        <f t="shared" si="313"/>
        <v>0</v>
      </c>
      <c r="CA113" s="439">
        <f t="shared" si="314"/>
        <v>0</v>
      </c>
      <c r="CB113" s="214"/>
      <c r="CC113" s="214"/>
      <c r="CD113" s="214"/>
      <c r="CE113" s="343" t="str">
        <f t="shared" si="380"/>
        <v>0</v>
      </c>
      <c r="CF113" s="214"/>
      <c r="CG113" s="214"/>
      <c r="CH113" s="326" t="str">
        <f t="shared" si="381"/>
        <v>0</v>
      </c>
      <c r="CI113" s="214"/>
      <c r="CJ113" s="214"/>
      <c r="CK113" s="326" t="str">
        <f t="shared" si="382"/>
        <v>0</v>
      </c>
      <c r="CL113" s="214"/>
      <c r="CM113" s="214"/>
      <c r="CN113" s="326" t="str">
        <f t="shared" si="383"/>
        <v>0</v>
      </c>
      <c r="CO113" s="214"/>
      <c r="CP113" s="214"/>
      <c r="CQ113" s="326" t="str">
        <f t="shared" si="342"/>
        <v>0</v>
      </c>
      <c r="CR113" s="290"/>
      <c r="CS113" s="345"/>
      <c r="CT113" s="330"/>
      <c r="CU113" s="335"/>
      <c r="CV113" s="332" t="str">
        <f t="shared" si="337"/>
        <v>0</v>
      </c>
      <c r="CW113" s="498"/>
      <c r="CX113" s="449">
        <v>44063</v>
      </c>
      <c r="CY113" s="233"/>
      <c r="CZ113" s="284">
        <f t="shared" si="327"/>
        <v>24.3</v>
      </c>
      <c r="DA113" s="332" t="str">
        <f t="shared" si="293"/>
        <v>0</v>
      </c>
      <c r="DB113" s="450">
        <v>24</v>
      </c>
      <c r="DC113" s="169">
        <f t="shared" si="294"/>
        <v>28</v>
      </c>
      <c r="DD113" s="330">
        <v>43793</v>
      </c>
      <c r="DE113" s="335">
        <f t="shared" ca="1" si="366"/>
        <v>43950</v>
      </c>
      <c r="DF113" s="332">
        <f t="shared" ca="1" si="319"/>
        <v>157</v>
      </c>
      <c r="DG113" s="330">
        <f>DATE(YEAR(DD113),MONTH(DD113)+2,DAY(DD113))</f>
        <v>43854</v>
      </c>
      <c r="DH113" s="348">
        <f t="shared" ca="1" si="367"/>
        <v>43950</v>
      </c>
      <c r="DI113" s="333">
        <f t="shared" ca="1" si="295"/>
        <v>96</v>
      </c>
      <c r="DJ113" s="334"/>
      <c r="DK113" s="348">
        <f t="shared" ca="1" si="368"/>
        <v>43950</v>
      </c>
      <c r="DL113" s="332" t="str">
        <f t="shared" ca="1" si="347"/>
        <v>0</v>
      </c>
      <c r="DM113" s="335"/>
      <c r="DN113" s="335">
        <f t="shared" ca="1" si="369"/>
        <v>43950</v>
      </c>
      <c r="DO113" s="332" t="str">
        <f t="shared" ca="1" si="296"/>
        <v>0</v>
      </c>
      <c r="DP113" s="336"/>
      <c r="DQ113" s="336"/>
      <c r="DR113" s="332" t="str">
        <f t="shared" si="297"/>
        <v>0</v>
      </c>
      <c r="DS113" s="335"/>
      <c r="DT113" s="335">
        <f t="shared" ca="1" si="370"/>
        <v>43950</v>
      </c>
      <c r="DU113" s="332" t="str">
        <f t="shared" ca="1" si="298"/>
        <v>0</v>
      </c>
      <c r="DV113" s="335"/>
      <c r="DW113" s="335">
        <f t="shared" ca="1" si="371"/>
        <v>43950</v>
      </c>
      <c r="DX113" s="332" t="str">
        <f t="shared" ca="1" si="299"/>
        <v>0</v>
      </c>
      <c r="DY113" s="335"/>
      <c r="DZ113" s="335"/>
      <c r="EA113" s="335"/>
      <c r="EB113" s="477">
        <f t="shared" si="350"/>
        <v>44793</v>
      </c>
      <c r="EC113" s="476">
        <f>DATE(YEAR(EB113),MONTH(EB113)+4,DAY(EB113))</f>
        <v>44915</v>
      </c>
      <c r="ED113" s="473">
        <f t="shared" si="343"/>
        <v>4.0666666666666664</v>
      </c>
      <c r="EE113" s="605">
        <f t="shared" ca="1" si="372"/>
        <v>32.166666666666664</v>
      </c>
      <c r="EF113" s="476">
        <f t="shared" ca="1" si="373"/>
        <v>44680</v>
      </c>
      <c r="EG113" s="535"/>
      <c r="EH113" s="526"/>
      <c r="EI113" s="536"/>
      <c r="EJ113" s="295"/>
      <c r="EK113" s="534">
        <f t="shared" si="384"/>
        <v>44824</v>
      </c>
      <c r="EL113" s="476">
        <f t="shared" si="375"/>
        <v>44946</v>
      </c>
      <c r="EM113" s="368"/>
      <c r="EN113" s="471">
        <f>(DATEDIF(EK113,EL113,"d"))/30</f>
        <v>4.0666666666666664</v>
      </c>
      <c r="EO113" s="461">
        <v>13231</v>
      </c>
      <c r="EP113" s="173">
        <f t="shared" si="352"/>
        <v>53806.066666666666</v>
      </c>
      <c r="EQ113" s="77"/>
      <c r="ER113" s="353">
        <v>0</v>
      </c>
      <c r="ES113" s="353">
        <v>0</v>
      </c>
      <c r="ET113" s="353"/>
      <c r="EU113" s="353"/>
      <c r="EV113" s="353"/>
      <c r="EW113" s="483">
        <f t="shared" si="361"/>
        <v>0</v>
      </c>
      <c r="EX113" s="350"/>
      <c r="EY113" s="362"/>
      <c r="EZ113" s="362" t="s">
        <v>518</v>
      </c>
      <c r="FA113" s="362" t="s">
        <v>811</v>
      </c>
      <c r="FB113" s="126">
        <f t="shared" ca="1" si="385"/>
        <v>44680</v>
      </c>
      <c r="FC113" s="80"/>
      <c r="FD113" s="80"/>
      <c r="FE113" s="80"/>
      <c r="FF113" s="80"/>
      <c r="FG113" s="80"/>
      <c r="FH113" s="31"/>
      <c r="FI113" s="194">
        <f t="shared" si="351"/>
        <v>45280</v>
      </c>
      <c r="FJ113" s="194"/>
      <c r="FK113" s="31"/>
      <c r="FL113" s="31"/>
      <c r="FM113" s="31"/>
      <c r="FN113" s="31"/>
      <c r="FO113" s="31"/>
      <c r="FP113" s="31"/>
      <c r="FQ113" s="31"/>
      <c r="FR113" s="31"/>
      <c r="FS113" s="31"/>
      <c r="FT113" s="31"/>
      <c r="FU113" s="31"/>
      <c r="FV113" s="31"/>
      <c r="FW113" s="31"/>
      <c r="FX113" s="529"/>
      <c r="FY113" s="652">
        <f t="shared" si="344"/>
        <v>4761024.0180526366</v>
      </c>
      <c r="FZ113" s="550">
        <f t="shared" si="365"/>
        <v>4761024.0180526366</v>
      </c>
      <c r="GA113" s="45">
        <f t="shared" si="322"/>
        <v>4761024.0180526366</v>
      </c>
      <c r="GB113" s="602">
        <f>GM113+GN113+GR113+GQ113+GV113+GX113</f>
        <v>439624.0180526367</v>
      </c>
      <c r="GC113" s="28">
        <f t="shared" si="345"/>
        <v>2289.4051318060947</v>
      </c>
      <c r="GD113" s="28">
        <f t="shared" si="353"/>
        <v>216410.1826387562</v>
      </c>
      <c r="GE113" s="775">
        <v>1615720</v>
      </c>
      <c r="GF113" s="417"/>
      <c r="GG113" s="28">
        <f t="shared" si="323"/>
        <v>73441.818181818177</v>
      </c>
      <c r="GH113" s="775">
        <f t="shared" si="362"/>
        <v>2562680</v>
      </c>
      <c r="GI113" s="624">
        <v>499292</v>
      </c>
      <c r="GJ113" s="624">
        <v>2063388</v>
      </c>
      <c r="GK113" s="407">
        <f t="shared" si="354"/>
        <v>116485.45454545454</v>
      </c>
      <c r="GL113" s="623"/>
      <c r="GM113" s="45">
        <v>418000</v>
      </c>
      <c r="GN113" s="45"/>
      <c r="GO113" s="23">
        <f t="shared" si="346"/>
        <v>8.7796238459425205E-2</v>
      </c>
      <c r="GP113" s="45">
        <v>143000</v>
      </c>
      <c r="GQ113" s="45"/>
      <c r="GR113" s="45">
        <v>21624.0180526367</v>
      </c>
      <c r="GS113" s="28">
        <f t="shared" si="300"/>
        <v>19000</v>
      </c>
      <c r="GT113" s="28">
        <f t="shared" si="301"/>
        <v>92441.818181818177</v>
      </c>
      <c r="GU113" s="682"/>
      <c r="GV113" s="682"/>
      <c r="GW113" s="682">
        <f t="shared" si="378"/>
        <v>92441.818181818177</v>
      </c>
      <c r="GX113" s="682"/>
      <c r="GY113" s="682">
        <f t="shared" si="302"/>
        <v>92441.818181818177</v>
      </c>
      <c r="GZ113" s="681">
        <f t="shared" si="324"/>
        <v>0.42716020593230197</v>
      </c>
      <c r="HA113" s="682"/>
      <c r="HB113" s="682"/>
      <c r="HC113" s="45">
        <f>ES113</f>
        <v>0</v>
      </c>
      <c r="HD113" s="602">
        <f>(922952+2938.14)*1.021</f>
        <v>945333.83293999988</v>
      </c>
      <c r="HE113" s="608">
        <f t="shared" si="303"/>
        <v>0.19855682923579582</v>
      </c>
      <c r="HF113" s="602">
        <f>FZ113+FZ114-HD113</f>
        <v>9945581.1851126384</v>
      </c>
      <c r="HG113" s="602">
        <f ca="1">IF(EE113&lt;DATEDIF(TODAY(),$HG$1,"M"),HF113,(HF113/EE113*DATEDIF(TODAY(),$HG$1,"M")))*0+500000</f>
        <v>500000</v>
      </c>
      <c r="HH113" s="608">
        <f ca="1">(HG113+HD113)/(FZ113+FZ114)</f>
        <v>0.13271004599193303</v>
      </c>
      <c r="HI113" s="602">
        <f>'[1]GLOBAL OPERATION'!$AG$69</f>
        <v>97825.35</v>
      </c>
      <c r="HJ113" s="602">
        <f t="shared" si="349"/>
        <v>341798.66805263667</v>
      </c>
      <c r="HK113" s="608">
        <f t="shared" si="348"/>
        <v>0.2225204856489148</v>
      </c>
      <c r="HL113" s="608"/>
      <c r="HM113" s="673"/>
      <c r="HN113" s="62"/>
      <c r="HO113" s="673"/>
      <c r="HP113" s="673">
        <f t="shared" si="386"/>
        <v>0</v>
      </c>
      <c r="HQ113" s="539"/>
      <c r="HR113" s="539"/>
      <c r="HS113" s="539"/>
      <c r="HT113" s="539"/>
      <c r="HU113" s="539"/>
      <c r="HV113" s="673"/>
      <c r="HW113" s="673">
        <f>HV113+HP113+HO113+HM113</f>
        <v>0</v>
      </c>
      <c r="HX113" s="539"/>
    </row>
    <row r="114" spans="1:232" ht="15" customHeight="1">
      <c r="A114" s="650" t="s">
        <v>299</v>
      </c>
      <c r="B114" s="31" t="s">
        <v>20</v>
      </c>
      <c r="C114" s="31" t="s">
        <v>91</v>
      </c>
      <c r="D114" s="31">
        <v>2018</v>
      </c>
      <c r="E114" s="31" t="s">
        <v>415</v>
      </c>
      <c r="F114" s="74"/>
      <c r="G114" s="74"/>
      <c r="H114" s="33" t="s">
        <v>186</v>
      </c>
      <c r="I114" s="31"/>
      <c r="J114" s="31" t="s">
        <v>300</v>
      </c>
      <c r="K114" s="180" t="s">
        <v>430</v>
      </c>
      <c r="L114" s="114"/>
      <c r="M114" s="115"/>
      <c r="N114" s="116"/>
      <c r="O114" s="142">
        <f>10872*0.56</f>
        <v>6088.3200000000006</v>
      </c>
      <c r="P114" s="142">
        <v>290092</v>
      </c>
      <c r="Q114" s="142"/>
      <c r="R114" s="142">
        <f t="shared" si="355"/>
        <v>8532.1176470588234</v>
      </c>
      <c r="S114" s="142">
        <f t="shared" si="356"/>
        <v>47.64729843372227</v>
      </c>
      <c r="T114" s="148">
        <f t="shared" si="357"/>
        <v>0</v>
      </c>
      <c r="U114" s="148">
        <f t="shared" si="358"/>
        <v>0</v>
      </c>
      <c r="V114" s="148">
        <f t="shared" si="359"/>
        <v>0</v>
      </c>
      <c r="W114" s="142">
        <f t="shared" si="360"/>
        <v>179.06823529411767</v>
      </c>
      <c r="X114" s="143"/>
      <c r="Y114" s="525">
        <f t="shared" si="290"/>
        <v>55.84463365920319</v>
      </c>
      <c r="Z114" s="143"/>
      <c r="AA114" s="143"/>
      <c r="AB114" s="144"/>
      <c r="AC114" s="31" t="s">
        <v>10</v>
      </c>
      <c r="AD114" s="493">
        <f t="shared" si="338"/>
        <v>34</v>
      </c>
      <c r="AE114" s="493">
        <f t="shared" si="291"/>
        <v>34</v>
      </c>
      <c r="AF114" s="42"/>
      <c r="AG114" s="31">
        <v>34</v>
      </c>
      <c r="AH114" s="74"/>
      <c r="AI114" s="74"/>
      <c r="AJ114" s="796">
        <v>2347.75</v>
      </c>
      <c r="AK114" s="276">
        <v>2623.45</v>
      </c>
      <c r="AL114" s="586">
        <f t="shared" si="339"/>
        <v>69.05147058823529</v>
      </c>
      <c r="AM114" s="8">
        <f t="shared" si="340"/>
        <v>77.160294117647055</v>
      </c>
      <c r="AN114" s="35">
        <v>5.9828543468996109</v>
      </c>
      <c r="AO114" s="35">
        <v>5.35</v>
      </c>
      <c r="AP114" s="35">
        <v>413.12</v>
      </c>
      <c r="AQ114" s="53">
        <f>1/AD114</f>
        <v>2.9411764705882353E-2</v>
      </c>
      <c r="AR114" s="53">
        <f>10/AD114</f>
        <v>0.29411764705882354</v>
      </c>
      <c r="AS114" s="53">
        <f>16/AD114</f>
        <v>0.47058823529411764</v>
      </c>
      <c r="AT114" s="53">
        <f>7/AD114</f>
        <v>0.20588235294117646</v>
      </c>
      <c r="AU114" s="53"/>
      <c r="AV114" s="35"/>
      <c r="AW114" s="51"/>
      <c r="AX114" s="53"/>
      <c r="AY114" s="35"/>
      <c r="AZ114" s="34" t="s">
        <v>398</v>
      </c>
      <c r="BA114" s="31" t="s">
        <v>98</v>
      </c>
      <c r="BB114" s="31"/>
      <c r="BC114" s="31"/>
      <c r="BD114" s="31"/>
      <c r="BE114" s="31"/>
      <c r="BF114" s="165" t="s">
        <v>401</v>
      </c>
      <c r="BG114" s="165"/>
      <c r="BH114" s="73">
        <v>43308</v>
      </c>
      <c r="BI114" s="381">
        <v>43713</v>
      </c>
      <c r="BJ114" s="660">
        <v>43189</v>
      </c>
      <c r="BK114" s="660">
        <v>43334</v>
      </c>
      <c r="BL114" s="661"/>
      <c r="BM114" s="659">
        <f t="shared" si="341"/>
        <v>4.833333333333333</v>
      </c>
      <c r="BN114" s="578" t="s">
        <v>235</v>
      </c>
      <c r="BO114" s="452"/>
      <c r="BP114" s="139"/>
      <c r="BQ114" s="654">
        <f t="shared" si="325"/>
        <v>0</v>
      </c>
      <c r="BR114" s="638"/>
      <c r="BS114" s="110">
        <f>DATE(YEAR(BP114),MONTH(BP114)+3,DAY(BP114))</f>
        <v>91</v>
      </c>
      <c r="BT114" s="110"/>
      <c r="BU114" s="202"/>
      <c r="BV114" s="201">
        <f t="shared" si="292"/>
        <v>731</v>
      </c>
      <c r="BW114" s="439"/>
      <c r="BX114" s="201" t="str">
        <f t="shared" si="311"/>
        <v>oui</v>
      </c>
      <c r="BY114" s="557">
        <f t="shared" si="312"/>
        <v>-1473.8333333333333</v>
      </c>
      <c r="BZ114" s="439" t="str">
        <f t="shared" si="313"/>
        <v>0</v>
      </c>
      <c r="CA114" s="439">
        <f t="shared" si="314"/>
        <v>0</v>
      </c>
      <c r="CB114" s="279"/>
      <c r="CC114" s="81"/>
      <c r="CD114" s="81"/>
      <c r="CE114" s="343" t="str">
        <f t="shared" si="380"/>
        <v>0</v>
      </c>
      <c r="CF114" s="81"/>
      <c r="CG114" s="214"/>
      <c r="CH114" s="326" t="str">
        <f t="shared" si="381"/>
        <v>0</v>
      </c>
      <c r="CI114" s="81"/>
      <c r="CJ114" s="279"/>
      <c r="CK114" s="326" t="str">
        <f t="shared" si="382"/>
        <v>0</v>
      </c>
      <c r="CL114" s="81"/>
      <c r="CM114" s="279"/>
      <c r="CN114" s="326" t="str">
        <f t="shared" si="383"/>
        <v>0</v>
      </c>
      <c r="CO114" s="83"/>
      <c r="CP114" s="81"/>
      <c r="CQ114" s="326" t="str">
        <f t="shared" si="342"/>
        <v>0</v>
      </c>
      <c r="CR114" s="290"/>
      <c r="CS114" s="345"/>
      <c r="CT114" s="330"/>
      <c r="CU114" s="331"/>
      <c r="CV114" s="332" t="str">
        <f t="shared" si="337"/>
        <v>0</v>
      </c>
      <c r="CW114" s="498"/>
      <c r="CX114" s="449">
        <v>44063</v>
      </c>
      <c r="CY114" s="233"/>
      <c r="CZ114" s="284">
        <f t="shared" si="327"/>
        <v>24.3</v>
      </c>
      <c r="DA114" s="332" t="str">
        <f t="shared" si="293"/>
        <v>0</v>
      </c>
      <c r="DB114" s="450">
        <v>24</v>
      </c>
      <c r="DC114" s="169">
        <f t="shared" si="294"/>
        <v>28</v>
      </c>
      <c r="DD114" s="330">
        <v>43793</v>
      </c>
      <c r="DE114" s="335">
        <f t="shared" ca="1" si="366"/>
        <v>43950</v>
      </c>
      <c r="DF114" s="332">
        <f t="shared" ca="1" si="319"/>
        <v>157</v>
      </c>
      <c r="DG114" s="330">
        <f>DATE(YEAR(DD114),MONTH(DD114)+2,DAY(DD114))</f>
        <v>43854</v>
      </c>
      <c r="DH114" s="348">
        <f t="shared" ca="1" si="367"/>
        <v>43950</v>
      </c>
      <c r="DI114" s="333">
        <f t="shared" ca="1" si="295"/>
        <v>96</v>
      </c>
      <c r="DJ114" s="334"/>
      <c r="DK114" s="348">
        <f t="shared" ca="1" si="368"/>
        <v>43950</v>
      </c>
      <c r="DL114" s="332" t="str">
        <f t="shared" ca="1" si="347"/>
        <v>0</v>
      </c>
      <c r="DM114" s="335"/>
      <c r="DN114" s="335">
        <f t="shared" ca="1" si="369"/>
        <v>43950</v>
      </c>
      <c r="DO114" s="332" t="str">
        <f t="shared" ca="1" si="296"/>
        <v>0</v>
      </c>
      <c r="DP114" s="336"/>
      <c r="DQ114" s="336"/>
      <c r="DR114" s="332" t="str">
        <f t="shared" si="297"/>
        <v>0</v>
      </c>
      <c r="DS114" s="335"/>
      <c r="DT114" s="335">
        <f t="shared" ca="1" si="370"/>
        <v>43950</v>
      </c>
      <c r="DU114" s="332" t="str">
        <f t="shared" ca="1" si="298"/>
        <v>0</v>
      </c>
      <c r="DV114" s="335"/>
      <c r="DW114" s="335">
        <f t="shared" ca="1" si="371"/>
        <v>43950</v>
      </c>
      <c r="DX114" s="332" t="str">
        <f t="shared" ca="1" si="299"/>
        <v>0</v>
      </c>
      <c r="DY114" s="335"/>
      <c r="DZ114" s="335"/>
      <c r="EA114" s="335"/>
      <c r="EB114" s="477">
        <f t="shared" si="350"/>
        <v>44793</v>
      </c>
      <c r="EC114" s="476">
        <f>DATE(YEAR(EB114),MONTH(EB114)+4,DAY(EB114))</f>
        <v>44915</v>
      </c>
      <c r="ED114" s="473">
        <f t="shared" si="343"/>
        <v>4.0666666666666664</v>
      </c>
      <c r="EE114" s="605">
        <f t="shared" ca="1" si="372"/>
        <v>32.166666666666664</v>
      </c>
      <c r="EF114" s="476">
        <f t="shared" ca="1" si="373"/>
        <v>44680</v>
      </c>
      <c r="EG114" s="535"/>
      <c r="EH114" s="526"/>
      <c r="EI114" s="536"/>
      <c r="EJ114" s="295"/>
      <c r="EK114" s="534">
        <f t="shared" si="384"/>
        <v>44824</v>
      </c>
      <c r="EL114" s="476">
        <f t="shared" si="375"/>
        <v>44946</v>
      </c>
      <c r="EM114" s="368"/>
      <c r="EN114" s="471">
        <f>(DATEDIF(EK114,EL114,"d"))/30</f>
        <v>4.0666666666666664</v>
      </c>
      <c r="EO114" s="461">
        <v>14099</v>
      </c>
      <c r="EP114" s="173">
        <f t="shared" si="352"/>
        <v>57335.933333333327</v>
      </c>
      <c r="EQ114" s="77"/>
      <c r="ER114" s="353"/>
      <c r="ES114" s="353">
        <v>0</v>
      </c>
      <c r="ET114" s="353"/>
      <c r="EU114" s="353"/>
      <c r="EV114" s="353"/>
      <c r="EW114" s="483">
        <f t="shared" si="361"/>
        <v>0</v>
      </c>
      <c r="EX114" s="350"/>
      <c r="EY114" s="362"/>
      <c r="EZ114" s="362"/>
      <c r="FA114" s="74"/>
      <c r="FB114" s="126">
        <f t="shared" ca="1" si="385"/>
        <v>44680</v>
      </c>
      <c r="FC114" s="80"/>
      <c r="FD114" s="80"/>
      <c r="FE114" s="80"/>
      <c r="FF114" s="80"/>
      <c r="FG114" s="80"/>
      <c r="FH114" s="31"/>
      <c r="FI114" s="194">
        <f t="shared" si="351"/>
        <v>45280</v>
      </c>
      <c r="FJ114" s="194"/>
      <c r="FK114" s="31"/>
      <c r="FL114" s="31"/>
      <c r="FM114" s="31"/>
      <c r="FN114" s="31"/>
      <c r="FO114" s="31"/>
      <c r="FP114" s="31"/>
      <c r="FQ114" s="31"/>
      <c r="FR114" s="31"/>
      <c r="FS114" s="31"/>
      <c r="FT114" s="31"/>
      <c r="FU114" s="31"/>
      <c r="FV114" s="31"/>
      <c r="FW114" s="31"/>
      <c r="FX114" s="529"/>
      <c r="FY114" s="652">
        <f t="shared" si="344"/>
        <v>6129891</v>
      </c>
      <c r="FZ114" s="550">
        <f t="shared" si="365"/>
        <v>6129891</v>
      </c>
      <c r="GA114" s="45">
        <f t="shared" si="322"/>
        <v>6129891</v>
      </c>
      <c r="GB114" s="602">
        <f>GM114+GN114+GR114+GQ114+GV114+GX114</f>
        <v>741279</v>
      </c>
      <c r="GC114" s="28">
        <f t="shared" si="345"/>
        <v>2336.5762640797425</v>
      </c>
      <c r="GD114" s="28">
        <f t="shared" si="353"/>
        <v>180290.91176470587</v>
      </c>
      <c r="GE114" s="775">
        <v>1974515</v>
      </c>
      <c r="GF114" s="417"/>
      <c r="GG114" s="28">
        <f t="shared" si="323"/>
        <v>58073.970588235294</v>
      </c>
      <c r="GH114" s="775">
        <f t="shared" si="362"/>
        <v>3193097</v>
      </c>
      <c r="GI114" s="624">
        <v>617258</v>
      </c>
      <c r="GJ114" s="624">
        <v>2575839</v>
      </c>
      <c r="GK114" s="407">
        <f t="shared" si="354"/>
        <v>93914.617647058825</v>
      </c>
      <c r="GL114" s="623"/>
      <c r="GM114" s="45">
        <v>714000</v>
      </c>
      <c r="GN114" s="45"/>
      <c r="GO114" s="23">
        <f t="shared" si="346"/>
        <v>0.1164784169897964</v>
      </c>
      <c r="GP114" s="45">
        <v>221000</v>
      </c>
      <c r="GQ114" s="45"/>
      <c r="GR114" s="45">
        <v>27279</v>
      </c>
      <c r="GS114" s="28">
        <f t="shared" si="300"/>
        <v>21000</v>
      </c>
      <c r="GT114" s="28">
        <f t="shared" si="301"/>
        <v>79073.970588235301</v>
      </c>
      <c r="GU114" s="682"/>
      <c r="GV114" s="682"/>
      <c r="GW114" s="680">
        <f t="shared" si="378"/>
        <v>79073.970588235301</v>
      </c>
      <c r="GX114" s="682"/>
      <c r="GY114" s="682">
        <f t="shared" si="302"/>
        <v>79073.970588235301</v>
      </c>
      <c r="GZ114" s="681">
        <f t="shared" si="324"/>
        <v>0.4385909961531127</v>
      </c>
      <c r="HA114" s="682"/>
      <c r="HB114" s="682"/>
      <c r="HC114" s="45">
        <f>ES114</f>
        <v>0</v>
      </c>
      <c r="HD114" s="442"/>
      <c r="HE114" s="608">
        <f t="shared" si="303"/>
        <v>0</v>
      </c>
      <c r="HF114" s="442"/>
      <c r="HG114" s="442"/>
      <c r="HH114" s="418"/>
      <c r="HI114" s="602">
        <f>'[1]GLOBAL OPERATION'!$AG$70</f>
        <v>28778.48</v>
      </c>
      <c r="HJ114" s="602">
        <f t="shared" si="349"/>
        <v>712500.52</v>
      </c>
      <c r="HK114" s="608">
        <f t="shared" si="348"/>
        <v>3.8822737457826273E-2</v>
      </c>
      <c r="HL114" s="608"/>
      <c r="HM114" s="673"/>
      <c r="HN114" s="62"/>
      <c r="HO114" s="673"/>
      <c r="HP114" s="673">
        <f t="shared" si="386"/>
        <v>0</v>
      </c>
      <c r="HQ114" s="539"/>
      <c r="HR114" s="539"/>
      <c r="HS114" s="539"/>
      <c r="HT114" s="539"/>
      <c r="HU114" s="539"/>
      <c r="HV114" s="673"/>
      <c r="HW114" s="673">
        <f>HV114+HP114+HO114+HM114</f>
        <v>0</v>
      </c>
      <c r="HX114" s="539"/>
    </row>
    <row r="115" spans="1:232" ht="15" customHeight="1">
      <c r="A115" s="495" t="s">
        <v>909</v>
      </c>
      <c r="B115" s="31" t="s">
        <v>21</v>
      </c>
      <c r="C115" s="31" t="s">
        <v>90</v>
      </c>
      <c r="D115" s="31">
        <v>2020</v>
      </c>
      <c r="E115" s="31" t="s">
        <v>881</v>
      </c>
      <c r="F115" s="31" t="s">
        <v>117</v>
      </c>
      <c r="G115" s="31" t="s">
        <v>143</v>
      </c>
      <c r="H115" s="33" t="s">
        <v>890</v>
      </c>
      <c r="I115" s="31"/>
      <c r="J115" s="31" t="s">
        <v>672</v>
      </c>
      <c r="K115" s="180"/>
      <c r="L115" s="114"/>
      <c r="M115" s="115"/>
      <c r="N115" s="116"/>
      <c r="O115" s="142">
        <v>33407</v>
      </c>
      <c r="P115" s="142"/>
      <c r="Q115" s="142"/>
      <c r="R115" s="142">
        <f t="shared" si="355"/>
        <v>0</v>
      </c>
      <c r="S115" s="142">
        <f t="shared" si="356"/>
        <v>0</v>
      </c>
      <c r="T115" s="148">
        <f t="shared" si="357"/>
        <v>0</v>
      </c>
      <c r="U115" s="148">
        <f t="shared" si="358"/>
        <v>0</v>
      </c>
      <c r="V115" s="148">
        <f t="shared" si="359"/>
        <v>0</v>
      </c>
      <c r="W115" s="142">
        <f t="shared" si="360"/>
        <v>273.82786885245901</v>
      </c>
      <c r="X115" s="143"/>
      <c r="Y115" s="525">
        <f t="shared" si="290"/>
        <v>36.519292363875834</v>
      </c>
      <c r="Z115" s="143"/>
      <c r="AA115" s="143"/>
      <c r="AB115" s="144"/>
      <c r="AC115" s="31" t="s">
        <v>9</v>
      </c>
      <c r="AD115" s="493">
        <f t="shared" si="338"/>
        <v>122</v>
      </c>
      <c r="AE115" s="493">
        <f t="shared" si="291"/>
        <v>122</v>
      </c>
      <c r="AF115" s="31">
        <v>122</v>
      </c>
      <c r="AG115" s="42"/>
      <c r="AH115" s="42"/>
      <c r="AI115" s="42"/>
      <c r="AJ115" s="797">
        <v>9271.5300000000007</v>
      </c>
      <c r="AK115" s="276">
        <v>10913.8</v>
      </c>
      <c r="AL115" s="586">
        <f t="shared" si="339"/>
        <v>75.996147540983614</v>
      </c>
      <c r="AM115" s="8">
        <f t="shared" si="340"/>
        <v>89.457377049180323</v>
      </c>
      <c r="AN115" s="35"/>
      <c r="AO115" s="35"/>
      <c r="AP115" s="35"/>
      <c r="AQ115" s="53"/>
      <c r="AR115" s="53"/>
      <c r="AS115" s="53"/>
      <c r="AT115" s="53"/>
      <c r="AU115" s="53"/>
      <c r="AV115" s="35"/>
      <c r="AW115" s="51"/>
      <c r="AX115" s="53"/>
      <c r="AY115" s="35"/>
      <c r="AZ115" s="31"/>
      <c r="BA115" s="31"/>
      <c r="BB115" s="160">
        <v>22322488.699999999</v>
      </c>
      <c r="BC115" s="504">
        <f>BB115/AJ115</f>
        <v>2407.6380813091255</v>
      </c>
      <c r="BD115" s="388">
        <f t="shared" ref="BD115:BD126" si="387">BB115/AK115</f>
        <v>2045.3452234785318</v>
      </c>
      <c r="BE115" s="392">
        <f>BB115/AD115</f>
        <v>182971.21885245902</v>
      </c>
      <c r="BF115" s="165">
        <v>43426</v>
      </c>
      <c r="BG115" s="165"/>
      <c r="BH115" s="73">
        <v>43816</v>
      </c>
      <c r="BI115" s="126"/>
      <c r="BJ115" s="660"/>
      <c r="BK115" s="660"/>
      <c r="BL115" s="661"/>
      <c r="BM115" s="659">
        <f t="shared" si="341"/>
        <v>0</v>
      </c>
      <c r="BN115" s="578" t="s">
        <v>235</v>
      </c>
      <c r="BO115" s="110"/>
      <c r="BP115" s="139"/>
      <c r="BQ115" s="654">
        <f t="shared" si="325"/>
        <v>0</v>
      </c>
      <c r="BR115" s="638"/>
      <c r="BS115" s="110"/>
      <c r="BT115" s="110"/>
      <c r="BU115" s="202"/>
      <c r="BV115" s="201">
        <f t="shared" si="292"/>
        <v>731</v>
      </c>
      <c r="BW115" s="439"/>
      <c r="BX115" s="201" t="str">
        <f t="shared" si="311"/>
        <v>oui</v>
      </c>
      <c r="BY115" s="557">
        <f t="shared" si="312"/>
        <v>-1474.8666666666666</v>
      </c>
      <c r="BZ115" s="439">
        <f t="shared" si="313"/>
        <v>0</v>
      </c>
      <c r="CA115" s="439">
        <f t="shared" si="314"/>
        <v>0</v>
      </c>
      <c r="CB115" s="339"/>
      <c r="CC115" s="341"/>
      <c r="CD115" s="341"/>
      <c r="CE115" s="343" t="str">
        <f t="shared" si="380"/>
        <v>0</v>
      </c>
      <c r="CF115" s="341"/>
      <c r="CG115" s="341"/>
      <c r="CH115" s="343" t="str">
        <f t="shared" si="381"/>
        <v>0</v>
      </c>
      <c r="CI115" s="341"/>
      <c r="CJ115" s="341">
        <f ca="1">IF(CI115&lt;TODAY(),TODAY(),CI115)</f>
        <v>43950</v>
      </c>
      <c r="CK115" s="343" t="str">
        <f t="shared" ca="1" si="382"/>
        <v>0</v>
      </c>
      <c r="CL115" s="341"/>
      <c r="CM115" s="341">
        <f ca="1">IF(CL115&lt;TODAY(),TODAY(),CL115)</f>
        <v>43950</v>
      </c>
      <c r="CN115" s="343" t="str">
        <f t="shared" ca="1" si="383"/>
        <v>0</v>
      </c>
      <c r="CO115" s="341"/>
      <c r="CP115" s="341">
        <f ca="1">IF(CO115&lt;TODAY(),TODAY(),CO115)</f>
        <v>43950</v>
      </c>
      <c r="CQ115" s="343" t="str">
        <f t="shared" ca="1" si="342"/>
        <v>0</v>
      </c>
      <c r="CR115" s="290"/>
      <c r="CS115" s="339"/>
      <c r="CT115" s="330"/>
      <c r="CU115" s="331"/>
      <c r="CV115" s="332" t="str">
        <f t="shared" si="337"/>
        <v>0</v>
      </c>
      <c r="CW115" s="498">
        <v>44378</v>
      </c>
      <c r="CX115" s="449">
        <v>44275</v>
      </c>
      <c r="CY115" s="233"/>
      <c r="CZ115" s="284">
        <f t="shared" si="327"/>
        <v>1475.8333333333333</v>
      </c>
      <c r="DA115" s="332">
        <f t="shared" si="293"/>
        <v>-103</v>
      </c>
      <c r="DB115" s="450">
        <v>22</v>
      </c>
      <c r="DC115" s="169">
        <f t="shared" si="294"/>
        <v>22</v>
      </c>
      <c r="DD115" s="330"/>
      <c r="DE115" s="335">
        <f t="shared" ca="1" si="366"/>
        <v>43950</v>
      </c>
      <c r="DF115" s="332" t="str">
        <f t="shared" ca="1" si="319"/>
        <v>0</v>
      </c>
      <c r="DG115" s="330"/>
      <c r="DH115" s="348">
        <f t="shared" ca="1" si="367"/>
        <v>43950</v>
      </c>
      <c r="DI115" s="333" t="str">
        <f t="shared" ca="1" si="295"/>
        <v>0</v>
      </c>
      <c r="DJ115" s="334"/>
      <c r="DK115" s="348">
        <f t="shared" ca="1" si="368"/>
        <v>43950</v>
      </c>
      <c r="DL115" s="332" t="str">
        <f t="shared" ca="1" si="347"/>
        <v>0</v>
      </c>
      <c r="DM115" s="335">
        <v>43532</v>
      </c>
      <c r="DN115" s="335">
        <f t="shared" ca="1" si="369"/>
        <v>43950</v>
      </c>
      <c r="DO115" s="332">
        <f t="shared" ca="1" si="296"/>
        <v>418</v>
      </c>
      <c r="DP115" s="336"/>
      <c r="DQ115" s="336"/>
      <c r="DR115" s="332" t="str">
        <f t="shared" si="297"/>
        <v>0</v>
      </c>
      <c r="DS115" s="335"/>
      <c r="DT115" s="335">
        <f t="shared" ca="1" si="370"/>
        <v>43950</v>
      </c>
      <c r="DU115" s="332" t="str">
        <f t="shared" ca="1" si="298"/>
        <v>0</v>
      </c>
      <c r="DV115" s="335">
        <v>43609</v>
      </c>
      <c r="DW115" s="335">
        <f t="shared" ca="1" si="371"/>
        <v>43950</v>
      </c>
      <c r="DX115" s="332">
        <f t="shared" ca="1" si="299"/>
        <v>341</v>
      </c>
      <c r="DY115" s="336"/>
      <c r="DZ115" s="336"/>
      <c r="EA115" s="336"/>
      <c r="EB115" s="477">
        <f t="shared" si="350"/>
        <v>44946</v>
      </c>
      <c r="EC115" s="476">
        <f>DATE(YEAR(EB115),MONTH(EB115),DAY(EB115))</f>
        <v>44946</v>
      </c>
      <c r="ED115" s="473">
        <f t="shared" si="343"/>
        <v>0</v>
      </c>
      <c r="EE115" s="605">
        <f t="shared" ca="1" si="372"/>
        <v>33.200000000000003</v>
      </c>
      <c r="EF115" s="476">
        <f t="shared" ca="1" si="373"/>
        <v>44680</v>
      </c>
      <c r="EG115" s="535"/>
      <c r="EH115" s="526"/>
      <c r="EI115" s="536">
        <f t="shared" ref="EI115:EI133" si="388">DATE(YEAR(EC115),MONTH(EC115)+4,DAY(EC115)+2)</f>
        <v>45068</v>
      </c>
      <c r="EJ115" s="295"/>
      <c r="EK115" s="534">
        <f t="shared" si="384"/>
        <v>44977</v>
      </c>
      <c r="EL115" s="476">
        <f t="shared" si="375"/>
        <v>44977</v>
      </c>
      <c r="EM115" s="368"/>
      <c r="EN115" s="471">
        <f t="shared" ref="EN115:EN133" si="389">(EL115-EK115)/30</f>
        <v>0</v>
      </c>
      <c r="EO115" s="461"/>
      <c r="EP115" s="173">
        <f t="shared" si="352"/>
        <v>0</v>
      </c>
      <c r="EQ115" s="77"/>
      <c r="ER115" s="353"/>
      <c r="ES115" s="353"/>
      <c r="ET115" s="353"/>
      <c r="EU115" s="353"/>
      <c r="EV115" s="353"/>
      <c r="EW115" s="483">
        <f t="shared" si="361"/>
        <v>0</v>
      </c>
      <c r="EX115" s="350"/>
      <c r="EY115" s="362"/>
      <c r="EZ115" s="350"/>
      <c r="FA115" s="350" t="s">
        <v>820</v>
      </c>
      <c r="FB115" s="126">
        <f t="shared" ca="1" si="385"/>
        <v>44680</v>
      </c>
      <c r="FC115" s="80"/>
      <c r="FD115" s="80"/>
      <c r="FE115" s="80"/>
      <c r="FF115" s="80"/>
      <c r="FG115" s="80"/>
      <c r="FH115" s="31"/>
      <c r="FI115" s="194">
        <f t="shared" si="351"/>
        <v>45311</v>
      </c>
      <c r="FJ115" s="194"/>
      <c r="FK115" s="31"/>
      <c r="FL115" s="31"/>
      <c r="FM115" s="31"/>
      <c r="FN115" s="31"/>
      <c r="FO115" s="31"/>
      <c r="FP115" s="31"/>
      <c r="FQ115" s="31"/>
      <c r="FR115" s="31"/>
      <c r="FS115" s="31"/>
      <c r="FT115" s="31"/>
      <c r="FU115" s="31"/>
      <c r="FV115" s="31"/>
      <c r="FW115" s="31"/>
      <c r="FX115" s="529"/>
      <c r="FY115" s="652">
        <f t="shared" si="344"/>
        <v>23298808</v>
      </c>
      <c r="FZ115" s="550">
        <f t="shared" si="365"/>
        <v>23298808</v>
      </c>
      <c r="GA115" s="45">
        <f t="shared" si="322"/>
        <v>23298808</v>
      </c>
      <c r="GB115" s="602">
        <f t="shared" ref="GB115:GB133" si="390">GM115+GN115+GR115+GV115</f>
        <v>2074000</v>
      </c>
      <c r="GC115" s="28">
        <f t="shared" si="345"/>
        <v>2134.8025435686932</v>
      </c>
      <c r="GD115" s="28">
        <f t="shared" si="353"/>
        <v>190973.83606557376</v>
      </c>
      <c r="GE115" s="45">
        <v>7404711</v>
      </c>
      <c r="GF115" s="417"/>
      <c r="GG115" s="28">
        <f t="shared" si="323"/>
        <v>60694.352459016394</v>
      </c>
      <c r="GH115" s="45">
        <f t="shared" si="362"/>
        <v>13820097</v>
      </c>
      <c r="GI115" s="59">
        <v>2431893</v>
      </c>
      <c r="GJ115" s="59">
        <v>11388204</v>
      </c>
      <c r="GK115" s="407">
        <f t="shared" si="354"/>
        <v>113279.48360655738</v>
      </c>
      <c r="GL115" s="45"/>
      <c r="GM115" s="45">
        <v>2074000</v>
      </c>
      <c r="GN115" s="45"/>
      <c r="GO115" s="23">
        <f t="shared" si="346"/>
        <v>8.9017429561203301E-2</v>
      </c>
      <c r="GP115" s="45"/>
      <c r="GQ115" s="45"/>
      <c r="GR115" s="45"/>
      <c r="GS115" s="28">
        <f t="shared" si="300"/>
        <v>17000</v>
      </c>
      <c r="GT115" s="28">
        <f t="shared" si="301"/>
        <v>77694.352459016387</v>
      </c>
      <c r="GU115" s="682"/>
      <c r="GV115" s="682"/>
      <c r="GW115" s="682">
        <f t="shared" si="378"/>
        <v>77694.352459016387</v>
      </c>
      <c r="GX115" s="682"/>
      <c r="GY115" s="682">
        <f t="shared" si="302"/>
        <v>77694.352459016387</v>
      </c>
      <c r="GZ115" s="681">
        <f t="shared" si="324"/>
        <v>0.40683244396022322</v>
      </c>
      <c r="HA115" s="682"/>
      <c r="HB115" s="682"/>
      <c r="HC115" s="45"/>
      <c r="HD115" s="602"/>
      <c r="HE115" s="608">
        <f t="shared" si="303"/>
        <v>0</v>
      </c>
      <c r="HF115" s="602">
        <f t="shared" ref="HF115:HF123" si="391">FZ115-HD115</f>
        <v>23298808</v>
      </c>
      <c r="HG115" s="602">
        <f ca="1">IF(EE115&lt;DATEDIF(TODAY(),$HG$1,"M"),HF115,(HF115/EE115*DATEDIF(TODAY(),$HG$1,"M")))*0</f>
        <v>0</v>
      </c>
      <c r="HH115" s="608">
        <f t="shared" ref="HH115:HH123" ca="1" si="392">(HD115+HG115)/FZ115</f>
        <v>0</v>
      </c>
      <c r="HI115" s="602"/>
      <c r="HJ115" s="602">
        <f t="shared" si="349"/>
        <v>2074000</v>
      </c>
      <c r="HK115" s="602">
        <f t="shared" si="348"/>
        <v>0</v>
      </c>
      <c r="HL115" s="602"/>
      <c r="HM115" s="673"/>
      <c r="HN115" s="62"/>
      <c r="HO115" s="673"/>
      <c r="HP115" s="673">
        <f t="shared" si="386"/>
        <v>0</v>
      </c>
      <c r="HQ115" s="539"/>
      <c r="HR115" s="539"/>
      <c r="HS115" s="539"/>
      <c r="HT115" s="539"/>
      <c r="HU115" s="539"/>
      <c r="HV115" s="673"/>
      <c r="HW115" s="673"/>
      <c r="HX115" s="539"/>
    </row>
    <row r="116" spans="1:232" ht="15" customHeight="1">
      <c r="A116" s="495" t="s">
        <v>913</v>
      </c>
      <c r="B116" s="31" t="s">
        <v>21</v>
      </c>
      <c r="C116" s="31" t="s">
        <v>90</v>
      </c>
      <c r="D116" s="31">
        <v>2020</v>
      </c>
      <c r="E116" s="31" t="s">
        <v>881</v>
      </c>
      <c r="F116" s="74"/>
      <c r="G116" s="74"/>
      <c r="H116" s="33" t="s">
        <v>569</v>
      </c>
      <c r="I116" s="31"/>
      <c r="J116" s="31" t="s">
        <v>672</v>
      </c>
      <c r="K116" s="180"/>
      <c r="L116" s="114"/>
      <c r="M116" s="115"/>
      <c r="N116" s="116"/>
      <c r="O116" s="142">
        <v>33407</v>
      </c>
      <c r="P116" s="142"/>
      <c r="Q116" s="142"/>
      <c r="R116" s="142">
        <f t="shared" si="355"/>
        <v>0</v>
      </c>
      <c r="S116" s="142">
        <f t="shared" si="356"/>
        <v>0</v>
      </c>
      <c r="T116" s="148">
        <f t="shared" si="357"/>
        <v>0</v>
      </c>
      <c r="U116" s="148">
        <f t="shared" si="358"/>
        <v>0</v>
      </c>
      <c r="V116" s="148">
        <f t="shared" si="359"/>
        <v>0</v>
      </c>
      <c r="W116" s="142">
        <f t="shared" si="360"/>
        <v>6681.4</v>
      </c>
      <c r="X116" s="143"/>
      <c r="Y116" s="525">
        <f t="shared" si="290"/>
        <v>1.4966923099949112</v>
      </c>
      <c r="Z116" s="143"/>
      <c r="AA116" s="143"/>
      <c r="AB116" s="144"/>
      <c r="AC116" s="31" t="s">
        <v>10</v>
      </c>
      <c r="AD116" s="493">
        <f t="shared" si="338"/>
        <v>5</v>
      </c>
      <c r="AE116" s="494">
        <f t="shared" si="291"/>
        <v>5</v>
      </c>
      <c r="AF116" s="42"/>
      <c r="AG116" s="31">
        <v>5</v>
      </c>
      <c r="AH116" s="42"/>
      <c r="AI116" s="42"/>
      <c r="AJ116" s="797">
        <v>237.6</v>
      </c>
      <c r="AK116" s="276">
        <v>323.51</v>
      </c>
      <c r="AL116" s="586">
        <f t="shared" si="339"/>
        <v>47.519999999999996</v>
      </c>
      <c r="AM116" s="35">
        <f t="shared" si="340"/>
        <v>64.701999999999998</v>
      </c>
      <c r="AN116" s="35"/>
      <c r="AO116" s="35"/>
      <c r="AP116" s="35"/>
      <c r="AQ116" s="53"/>
      <c r="AR116" s="53"/>
      <c r="AS116" s="53"/>
      <c r="AT116" s="53"/>
      <c r="AU116" s="53"/>
      <c r="AV116" s="35"/>
      <c r="AW116" s="51"/>
      <c r="AX116" s="53"/>
      <c r="AY116" s="35"/>
      <c r="AZ116" s="31"/>
      <c r="BA116" s="31"/>
      <c r="BB116" s="160">
        <v>646374.68000000005</v>
      </c>
      <c r="BC116" s="504">
        <f>BB116/AJ116</f>
        <v>2720.4321548821554</v>
      </c>
      <c r="BD116" s="388">
        <f t="shared" si="387"/>
        <v>1998.0052548607464</v>
      </c>
      <c r="BE116" s="392">
        <f>BB116/AD116</f>
        <v>129274.93600000002</v>
      </c>
      <c r="BF116" s="165">
        <v>43426</v>
      </c>
      <c r="BG116" s="165"/>
      <c r="BH116" s="73">
        <v>43816</v>
      </c>
      <c r="BI116" s="126"/>
      <c r="BJ116" s="660"/>
      <c r="BK116" s="660"/>
      <c r="BL116" s="661"/>
      <c r="BM116" s="659">
        <f t="shared" si="341"/>
        <v>0</v>
      </c>
      <c r="BN116" s="578" t="s">
        <v>235</v>
      </c>
      <c r="BO116" s="110"/>
      <c r="BP116" s="139"/>
      <c r="BQ116" s="654">
        <f t="shared" si="325"/>
        <v>0</v>
      </c>
      <c r="BR116" s="638"/>
      <c r="BS116" s="110"/>
      <c r="BT116" s="110"/>
      <c r="BU116" s="202"/>
      <c r="BV116" s="201">
        <f t="shared" si="292"/>
        <v>731</v>
      </c>
      <c r="BW116" s="439"/>
      <c r="BX116" s="201" t="str">
        <f t="shared" si="311"/>
        <v>oui</v>
      </c>
      <c r="BY116" s="557">
        <f t="shared" si="312"/>
        <v>-1474.8666666666666</v>
      </c>
      <c r="BZ116" s="439">
        <f t="shared" si="313"/>
        <v>0</v>
      </c>
      <c r="CA116" s="439">
        <f t="shared" si="314"/>
        <v>0</v>
      </c>
      <c r="CB116" s="339"/>
      <c r="CC116" s="341"/>
      <c r="CD116" s="341"/>
      <c r="CE116" s="343" t="str">
        <f t="shared" si="380"/>
        <v>0</v>
      </c>
      <c r="CF116" s="341"/>
      <c r="CG116" s="341"/>
      <c r="CH116" s="343" t="str">
        <f t="shared" si="381"/>
        <v>0</v>
      </c>
      <c r="CI116" s="341"/>
      <c r="CJ116" s="341">
        <f ca="1">IF(CI116&lt;TODAY(),TODAY(),CI116)</f>
        <v>43950</v>
      </c>
      <c r="CK116" s="343" t="str">
        <f t="shared" ca="1" si="382"/>
        <v>0</v>
      </c>
      <c r="CL116" s="341"/>
      <c r="CM116" s="341">
        <f ca="1">IF(CL116&lt;TODAY(),TODAY(),CL116)</f>
        <v>43950</v>
      </c>
      <c r="CN116" s="343" t="str">
        <f t="shared" ca="1" si="383"/>
        <v>0</v>
      </c>
      <c r="CO116" s="341"/>
      <c r="CP116" s="341">
        <f ca="1">IF(CO116&lt;TODAY(),TODAY(),CO116)</f>
        <v>43950</v>
      </c>
      <c r="CQ116" s="343" t="str">
        <f t="shared" ca="1" si="342"/>
        <v>0</v>
      </c>
      <c r="CR116" s="290"/>
      <c r="CS116" s="339"/>
      <c r="CT116" s="330"/>
      <c r="CU116" s="331"/>
      <c r="CV116" s="332" t="str">
        <f t="shared" si="337"/>
        <v>0</v>
      </c>
      <c r="CW116" s="498">
        <v>44378</v>
      </c>
      <c r="CX116" s="449">
        <v>44275</v>
      </c>
      <c r="CY116" s="233"/>
      <c r="CZ116" s="284">
        <f t="shared" si="327"/>
        <v>1475.8333333333333</v>
      </c>
      <c r="DA116" s="332">
        <f t="shared" si="293"/>
        <v>-103</v>
      </c>
      <c r="DB116" s="450">
        <v>22</v>
      </c>
      <c r="DC116" s="169">
        <f t="shared" si="294"/>
        <v>22</v>
      </c>
      <c r="DD116" s="330"/>
      <c r="DE116" s="335">
        <f t="shared" ca="1" si="366"/>
        <v>43950</v>
      </c>
      <c r="DF116" s="332" t="str">
        <f t="shared" ca="1" si="319"/>
        <v>0</v>
      </c>
      <c r="DG116" s="330"/>
      <c r="DH116" s="348">
        <f t="shared" ca="1" si="367"/>
        <v>43950</v>
      </c>
      <c r="DI116" s="333" t="str">
        <f t="shared" ca="1" si="295"/>
        <v>0</v>
      </c>
      <c r="DJ116" s="334"/>
      <c r="DK116" s="348">
        <f t="shared" ca="1" si="368"/>
        <v>43950</v>
      </c>
      <c r="DL116" s="332" t="str">
        <f t="shared" ca="1" si="347"/>
        <v>0</v>
      </c>
      <c r="DM116" s="335">
        <v>43532</v>
      </c>
      <c r="DN116" s="335">
        <f t="shared" ca="1" si="369"/>
        <v>43950</v>
      </c>
      <c r="DO116" s="332">
        <f t="shared" ca="1" si="296"/>
        <v>418</v>
      </c>
      <c r="DP116" s="336"/>
      <c r="DQ116" s="336"/>
      <c r="DR116" s="332" t="str">
        <f t="shared" si="297"/>
        <v>0</v>
      </c>
      <c r="DS116" s="335"/>
      <c r="DT116" s="335">
        <f t="shared" ca="1" si="370"/>
        <v>43950</v>
      </c>
      <c r="DU116" s="332" t="str">
        <f t="shared" ca="1" si="298"/>
        <v>0</v>
      </c>
      <c r="DV116" s="335">
        <v>43609</v>
      </c>
      <c r="DW116" s="335">
        <f t="shared" ca="1" si="371"/>
        <v>43950</v>
      </c>
      <c r="DX116" s="332">
        <f t="shared" ca="1" si="299"/>
        <v>341</v>
      </c>
      <c r="DY116" s="336"/>
      <c r="DZ116" s="336"/>
      <c r="EA116" s="336"/>
      <c r="EB116" s="477">
        <f t="shared" si="350"/>
        <v>44946</v>
      </c>
      <c r="EC116" s="476">
        <f>DATE(YEAR(EB116),MONTH(EB116),DAY(EB116))</f>
        <v>44946</v>
      </c>
      <c r="ED116" s="473">
        <f t="shared" si="343"/>
        <v>0</v>
      </c>
      <c r="EE116" s="605">
        <f t="shared" ca="1" si="372"/>
        <v>33.200000000000003</v>
      </c>
      <c r="EF116" s="476">
        <f t="shared" ca="1" si="373"/>
        <v>44680</v>
      </c>
      <c r="EG116" s="535"/>
      <c r="EH116" s="526"/>
      <c r="EI116" s="536">
        <f t="shared" si="388"/>
        <v>45068</v>
      </c>
      <c r="EJ116" s="295"/>
      <c r="EK116" s="534">
        <f t="shared" si="384"/>
        <v>44977</v>
      </c>
      <c r="EL116" s="476">
        <f t="shared" si="375"/>
        <v>44977</v>
      </c>
      <c r="EM116" s="368"/>
      <c r="EN116" s="471">
        <f t="shared" si="389"/>
        <v>0</v>
      </c>
      <c r="EO116" s="461"/>
      <c r="EP116" s="173">
        <f t="shared" si="352"/>
        <v>0</v>
      </c>
      <c r="EQ116" s="77"/>
      <c r="ER116" s="353"/>
      <c r="ES116" s="353"/>
      <c r="ET116" s="353"/>
      <c r="EU116" s="353"/>
      <c r="EV116" s="353"/>
      <c r="EW116" s="483">
        <f t="shared" si="361"/>
        <v>0</v>
      </c>
      <c r="EX116" s="350"/>
      <c r="EY116" s="362"/>
      <c r="EZ116" s="350"/>
      <c r="FA116" s="350" t="s">
        <v>820</v>
      </c>
      <c r="FB116" s="126">
        <f t="shared" ca="1" si="385"/>
        <v>44680</v>
      </c>
      <c r="FC116" s="80"/>
      <c r="FD116" s="80"/>
      <c r="FE116" s="80"/>
      <c r="FF116" s="80"/>
      <c r="FG116" s="80"/>
      <c r="FH116" s="31"/>
      <c r="FI116" s="194">
        <f t="shared" si="351"/>
        <v>45311</v>
      </c>
      <c r="FJ116" s="194"/>
      <c r="FK116" s="31"/>
      <c r="FL116" s="31"/>
      <c r="FM116" s="31"/>
      <c r="FN116" s="31"/>
      <c r="FO116" s="31"/>
      <c r="FP116" s="31"/>
      <c r="FQ116" s="31"/>
      <c r="FR116" s="31"/>
      <c r="FS116" s="31"/>
      <c r="FT116" s="31"/>
      <c r="FU116" s="31"/>
      <c r="FV116" s="31"/>
      <c r="FW116" s="31"/>
      <c r="FX116" s="529"/>
      <c r="FY116" s="652">
        <f t="shared" si="344"/>
        <v>675601.19</v>
      </c>
      <c r="FZ116" s="550">
        <f t="shared" si="365"/>
        <v>675601.19</v>
      </c>
      <c r="GA116" s="45">
        <f t="shared" si="322"/>
        <v>675601.19</v>
      </c>
      <c r="GB116" s="602">
        <f t="shared" si="390"/>
        <v>100000</v>
      </c>
      <c r="GC116" s="28">
        <f t="shared" si="345"/>
        <v>2088.3471608296495</v>
      </c>
      <c r="GD116" s="28">
        <f t="shared" si="353"/>
        <v>135120.23799999998</v>
      </c>
      <c r="GE116" s="45">
        <v>209664.19</v>
      </c>
      <c r="GF116" s="417"/>
      <c r="GG116" s="28">
        <f t="shared" si="323"/>
        <v>41932.838000000003</v>
      </c>
      <c r="GH116" s="45">
        <f t="shared" si="362"/>
        <v>365937</v>
      </c>
      <c r="GI116" s="59">
        <v>64199</v>
      </c>
      <c r="GJ116" s="59">
        <v>301738</v>
      </c>
      <c r="GK116" s="407">
        <f t="shared" si="354"/>
        <v>73187.399999999994</v>
      </c>
      <c r="GL116" s="45"/>
      <c r="GM116" s="45">
        <v>100000</v>
      </c>
      <c r="GN116" s="45"/>
      <c r="GO116" s="23">
        <f t="shared" si="346"/>
        <v>0.14801631714118207</v>
      </c>
      <c r="GP116" s="45"/>
      <c r="GQ116" s="45"/>
      <c r="GR116" s="45"/>
      <c r="GS116" s="28">
        <f t="shared" si="300"/>
        <v>20000</v>
      </c>
      <c r="GT116" s="28">
        <f t="shared" si="301"/>
        <v>61932.838000000003</v>
      </c>
      <c r="GU116" s="682"/>
      <c r="GV116" s="682"/>
      <c r="GW116" s="682">
        <f t="shared" si="378"/>
        <v>61932.838000000003</v>
      </c>
      <c r="GX116" s="682"/>
      <c r="GY116" s="682">
        <f t="shared" si="302"/>
        <v>61932.838000000003</v>
      </c>
      <c r="GZ116" s="681">
        <f t="shared" si="324"/>
        <v>0.45835352954307262</v>
      </c>
      <c r="HA116" s="682"/>
      <c r="HB116" s="682"/>
      <c r="HC116" s="45"/>
      <c r="HD116" s="602"/>
      <c r="HE116" s="608">
        <f t="shared" si="303"/>
        <v>0</v>
      </c>
      <c r="HF116" s="602">
        <f t="shared" si="391"/>
        <v>675601.19</v>
      </c>
      <c r="HG116" s="602">
        <f ca="1">IF(EE116&lt;DATEDIF(TODAY(),$HG$1,"M"),HF116,(HF116/EE116*DATEDIF(TODAY(),$HG$1,"M")))*0</f>
        <v>0</v>
      </c>
      <c r="HH116" s="608">
        <f t="shared" ca="1" si="392"/>
        <v>0</v>
      </c>
      <c r="HI116" s="602"/>
      <c r="HJ116" s="602">
        <f t="shared" si="349"/>
        <v>100000</v>
      </c>
      <c r="HK116" s="602">
        <f t="shared" si="348"/>
        <v>0</v>
      </c>
      <c r="HL116" s="602"/>
      <c r="HM116" s="673"/>
      <c r="HN116" s="62"/>
      <c r="HO116" s="673"/>
      <c r="HP116" s="673">
        <f t="shared" si="386"/>
        <v>0</v>
      </c>
      <c r="HQ116" s="539"/>
      <c r="HR116" s="539"/>
      <c r="HS116" s="539"/>
      <c r="HT116" s="539"/>
      <c r="HU116" s="539"/>
      <c r="HV116" s="673"/>
      <c r="HW116" s="673"/>
      <c r="HX116" s="539"/>
    </row>
    <row r="117" spans="1:232" ht="15" customHeight="1">
      <c r="A117" s="495" t="s">
        <v>916</v>
      </c>
      <c r="B117" s="31" t="s">
        <v>21</v>
      </c>
      <c r="C117" s="31" t="s">
        <v>90</v>
      </c>
      <c r="D117" s="31">
        <v>2020</v>
      </c>
      <c r="E117" s="31" t="s">
        <v>881</v>
      </c>
      <c r="F117" s="74"/>
      <c r="G117" s="74"/>
      <c r="H117" s="33" t="s">
        <v>569</v>
      </c>
      <c r="I117" s="31"/>
      <c r="J117" s="31" t="s">
        <v>672</v>
      </c>
      <c r="K117" s="180"/>
      <c r="L117" s="114"/>
      <c r="M117" s="115"/>
      <c r="N117" s="116"/>
      <c r="O117" s="142">
        <v>33407</v>
      </c>
      <c r="P117" s="142"/>
      <c r="Q117" s="142"/>
      <c r="R117" s="142">
        <f t="shared" si="355"/>
        <v>0</v>
      </c>
      <c r="S117" s="142">
        <f t="shared" si="356"/>
        <v>0</v>
      </c>
      <c r="T117" s="148">
        <f t="shared" si="357"/>
        <v>0</v>
      </c>
      <c r="U117" s="148">
        <f t="shared" si="358"/>
        <v>0</v>
      </c>
      <c r="V117" s="148">
        <f t="shared" si="359"/>
        <v>0</v>
      </c>
      <c r="W117" s="142">
        <f t="shared" si="360"/>
        <v>835.17499999999995</v>
      </c>
      <c r="X117" s="143"/>
      <c r="Y117" s="525">
        <f t="shared" si="290"/>
        <v>11.97353847995929</v>
      </c>
      <c r="Z117" s="143"/>
      <c r="AA117" s="143"/>
      <c r="AB117" s="144"/>
      <c r="AC117" s="31" t="s">
        <v>301</v>
      </c>
      <c r="AD117" s="493">
        <f t="shared" si="338"/>
        <v>40</v>
      </c>
      <c r="AE117" s="494">
        <f t="shared" si="291"/>
        <v>40</v>
      </c>
      <c r="AF117" s="42"/>
      <c r="AG117" s="42"/>
      <c r="AH117" s="31">
        <v>40</v>
      </c>
      <c r="AI117" s="42"/>
      <c r="AJ117" s="797">
        <v>3064.24</v>
      </c>
      <c r="AK117" s="276">
        <v>3514.63</v>
      </c>
      <c r="AL117" s="586">
        <f t="shared" si="339"/>
        <v>76.605999999999995</v>
      </c>
      <c r="AM117" s="35">
        <f t="shared" si="340"/>
        <v>87.865750000000006</v>
      </c>
      <c r="AN117" s="35"/>
      <c r="AO117" s="35"/>
      <c r="AP117" s="35"/>
      <c r="AQ117" s="53"/>
      <c r="AR117" s="53"/>
      <c r="AS117" s="53"/>
      <c r="AT117" s="53"/>
      <c r="AU117" s="53"/>
      <c r="AV117" s="35"/>
      <c r="AW117" s="51"/>
      <c r="AX117" s="53"/>
      <c r="AY117" s="35"/>
      <c r="AZ117" s="31"/>
      <c r="BA117" s="31"/>
      <c r="BB117" s="160">
        <v>7677879.8799999999</v>
      </c>
      <c r="BC117" s="504">
        <f>BB117/AJ117</f>
        <v>2505.6392058063338</v>
      </c>
      <c r="BD117" s="388">
        <f t="shared" si="387"/>
        <v>2184.5485527637334</v>
      </c>
      <c r="BE117" s="392">
        <f>BB117/AD117</f>
        <v>191946.997</v>
      </c>
      <c r="BF117" s="165">
        <v>43426</v>
      </c>
      <c r="BG117" s="165"/>
      <c r="BH117" s="73">
        <v>43816</v>
      </c>
      <c r="BI117" s="126"/>
      <c r="BJ117" s="660"/>
      <c r="BK117" s="660"/>
      <c r="BL117" s="661"/>
      <c r="BM117" s="659">
        <f t="shared" si="341"/>
        <v>0</v>
      </c>
      <c r="BN117" s="578" t="s">
        <v>235</v>
      </c>
      <c r="BO117" s="110"/>
      <c r="BP117" s="139"/>
      <c r="BQ117" s="654">
        <f t="shared" si="325"/>
        <v>0</v>
      </c>
      <c r="BR117" s="638"/>
      <c r="BS117" s="110"/>
      <c r="BT117" s="110"/>
      <c r="BU117" s="202"/>
      <c r="BV117" s="201">
        <f t="shared" si="292"/>
        <v>731</v>
      </c>
      <c r="BW117" s="439"/>
      <c r="BX117" s="201" t="str">
        <f t="shared" si="311"/>
        <v>oui</v>
      </c>
      <c r="BY117" s="557">
        <f t="shared" si="312"/>
        <v>-1474.8666666666666</v>
      </c>
      <c r="BZ117" s="439">
        <f t="shared" si="313"/>
        <v>0</v>
      </c>
      <c r="CA117" s="439">
        <f t="shared" si="314"/>
        <v>0</v>
      </c>
      <c r="CB117" s="339"/>
      <c r="CC117" s="341"/>
      <c r="CD117" s="341"/>
      <c r="CE117" s="343" t="str">
        <f t="shared" si="380"/>
        <v>0</v>
      </c>
      <c r="CF117" s="341"/>
      <c r="CG117" s="341"/>
      <c r="CH117" s="343" t="str">
        <f t="shared" si="381"/>
        <v>0</v>
      </c>
      <c r="CI117" s="341"/>
      <c r="CJ117" s="341">
        <f ca="1">IF(CI117&lt;TODAY(),TODAY(),CI117)</f>
        <v>43950</v>
      </c>
      <c r="CK117" s="343" t="str">
        <f t="shared" ca="1" si="382"/>
        <v>0</v>
      </c>
      <c r="CL117" s="341"/>
      <c r="CM117" s="341">
        <f ca="1">IF(CL117&lt;TODAY(),TODAY(),CL117)</f>
        <v>43950</v>
      </c>
      <c r="CN117" s="343" t="str">
        <f t="shared" ca="1" si="383"/>
        <v>0</v>
      </c>
      <c r="CO117" s="341"/>
      <c r="CP117" s="341">
        <f ca="1">IF(CO117&lt;TODAY(),TODAY(),CO117)</f>
        <v>43950</v>
      </c>
      <c r="CQ117" s="343" t="str">
        <f t="shared" ca="1" si="342"/>
        <v>0</v>
      </c>
      <c r="CR117" s="290"/>
      <c r="CS117" s="339"/>
      <c r="CT117" s="330"/>
      <c r="CU117" s="331"/>
      <c r="CV117" s="332" t="str">
        <f t="shared" si="337"/>
        <v>0</v>
      </c>
      <c r="CW117" s="498">
        <v>44378</v>
      </c>
      <c r="CX117" s="449">
        <v>44275</v>
      </c>
      <c r="CY117" s="233"/>
      <c r="CZ117" s="284">
        <f t="shared" si="327"/>
        <v>1475.8333333333333</v>
      </c>
      <c r="DA117" s="332">
        <f t="shared" si="293"/>
        <v>-103</v>
      </c>
      <c r="DB117" s="450">
        <v>22</v>
      </c>
      <c r="DC117" s="169">
        <f t="shared" si="294"/>
        <v>22</v>
      </c>
      <c r="DD117" s="330"/>
      <c r="DE117" s="335">
        <f t="shared" ca="1" si="366"/>
        <v>43950</v>
      </c>
      <c r="DF117" s="332" t="str">
        <f t="shared" ca="1" si="319"/>
        <v>0</v>
      </c>
      <c r="DG117" s="330"/>
      <c r="DH117" s="348">
        <f t="shared" ca="1" si="367"/>
        <v>43950</v>
      </c>
      <c r="DI117" s="333" t="str">
        <f t="shared" ca="1" si="295"/>
        <v>0</v>
      </c>
      <c r="DJ117" s="334"/>
      <c r="DK117" s="348">
        <f t="shared" ca="1" si="368"/>
        <v>43950</v>
      </c>
      <c r="DL117" s="332" t="str">
        <f t="shared" ca="1" si="347"/>
        <v>0</v>
      </c>
      <c r="DM117" s="335">
        <v>43532</v>
      </c>
      <c r="DN117" s="335">
        <f t="shared" ca="1" si="369"/>
        <v>43950</v>
      </c>
      <c r="DO117" s="332">
        <f t="shared" ca="1" si="296"/>
        <v>418</v>
      </c>
      <c r="DP117" s="336"/>
      <c r="DQ117" s="336"/>
      <c r="DR117" s="332" t="str">
        <f t="shared" si="297"/>
        <v>0</v>
      </c>
      <c r="DS117" s="335"/>
      <c r="DT117" s="335">
        <f t="shared" ca="1" si="370"/>
        <v>43950</v>
      </c>
      <c r="DU117" s="332" t="str">
        <f t="shared" ca="1" si="298"/>
        <v>0</v>
      </c>
      <c r="DV117" s="335">
        <v>43609</v>
      </c>
      <c r="DW117" s="335">
        <f t="shared" ca="1" si="371"/>
        <v>43950</v>
      </c>
      <c r="DX117" s="332">
        <f t="shared" ca="1" si="299"/>
        <v>341</v>
      </c>
      <c r="DY117" s="336"/>
      <c r="DZ117" s="336"/>
      <c r="EA117" s="336"/>
      <c r="EB117" s="477">
        <f t="shared" si="350"/>
        <v>44946</v>
      </c>
      <c r="EC117" s="476">
        <f>DATE(YEAR(EB117),MONTH(EB117),DAY(EB117))</f>
        <v>44946</v>
      </c>
      <c r="ED117" s="473">
        <f t="shared" si="343"/>
        <v>0</v>
      </c>
      <c r="EE117" s="605">
        <f t="shared" ca="1" si="372"/>
        <v>33.200000000000003</v>
      </c>
      <c r="EF117" s="476">
        <f t="shared" ca="1" si="373"/>
        <v>44680</v>
      </c>
      <c r="EG117" s="535"/>
      <c r="EH117" s="526"/>
      <c r="EI117" s="536">
        <f t="shared" si="388"/>
        <v>45068</v>
      </c>
      <c r="EJ117" s="295"/>
      <c r="EK117" s="534">
        <f t="shared" si="384"/>
        <v>44977</v>
      </c>
      <c r="EL117" s="476">
        <f t="shared" si="375"/>
        <v>44977</v>
      </c>
      <c r="EM117" s="368"/>
      <c r="EN117" s="471">
        <f t="shared" si="389"/>
        <v>0</v>
      </c>
      <c r="EO117" s="461"/>
      <c r="EP117" s="173">
        <f t="shared" si="352"/>
        <v>0</v>
      </c>
      <c r="EQ117" s="77"/>
      <c r="ER117" s="353"/>
      <c r="ES117" s="353"/>
      <c r="ET117" s="353"/>
      <c r="EU117" s="353"/>
      <c r="EV117" s="353"/>
      <c r="EW117" s="483">
        <f t="shared" si="361"/>
        <v>0</v>
      </c>
      <c r="EX117" s="350"/>
      <c r="EY117" s="362"/>
      <c r="EZ117" s="350"/>
      <c r="FA117" s="350" t="s">
        <v>820</v>
      </c>
      <c r="FB117" s="126">
        <f t="shared" ca="1" si="385"/>
        <v>44680</v>
      </c>
      <c r="FC117" s="80"/>
      <c r="FD117" s="80"/>
      <c r="FE117" s="80"/>
      <c r="FF117" s="80"/>
      <c r="FG117" s="80"/>
      <c r="FH117" s="31"/>
      <c r="FI117" s="194">
        <f t="shared" si="351"/>
        <v>45311</v>
      </c>
      <c r="FJ117" s="194"/>
      <c r="FK117" s="31"/>
      <c r="FL117" s="31"/>
      <c r="FM117" s="31"/>
      <c r="FN117" s="31"/>
      <c r="FO117" s="31"/>
      <c r="FP117" s="31"/>
      <c r="FQ117" s="31"/>
      <c r="FR117" s="31"/>
      <c r="FS117" s="31"/>
      <c r="FT117" s="31"/>
      <c r="FU117" s="31"/>
      <c r="FV117" s="31"/>
      <c r="FW117" s="31"/>
      <c r="FX117" s="529"/>
      <c r="FY117" s="652">
        <f t="shared" si="344"/>
        <v>8012520.9299999997</v>
      </c>
      <c r="FZ117" s="550">
        <f t="shared" si="365"/>
        <v>8012520.9299999997</v>
      </c>
      <c r="GA117" s="45">
        <f t="shared" si="322"/>
        <v>8012520.9299999997</v>
      </c>
      <c r="GB117" s="602">
        <f t="shared" si="390"/>
        <v>0</v>
      </c>
      <c r="GC117" s="28">
        <f t="shared" si="345"/>
        <v>2279.7622879221994</v>
      </c>
      <c r="GD117" s="28">
        <f t="shared" si="353"/>
        <v>200313.02325</v>
      </c>
      <c r="GE117" s="45">
        <v>2828792.93</v>
      </c>
      <c r="GF117" s="417"/>
      <c r="GG117" s="28">
        <f t="shared" si="323"/>
        <v>70719.823250000001</v>
      </c>
      <c r="GH117" s="45">
        <f t="shared" si="362"/>
        <v>4166511</v>
      </c>
      <c r="GI117" s="59">
        <v>875247</v>
      </c>
      <c r="GJ117" s="59">
        <v>3291264</v>
      </c>
      <c r="GK117" s="407">
        <f t="shared" si="354"/>
        <v>104162.77499999999</v>
      </c>
      <c r="GL117" s="45">
        <v>1017217</v>
      </c>
      <c r="GM117" s="45">
        <v>0</v>
      </c>
      <c r="GN117" s="45"/>
      <c r="GO117" s="23">
        <f t="shared" si="346"/>
        <v>0</v>
      </c>
      <c r="GP117" s="45"/>
      <c r="GQ117" s="45"/>
      <c r="GR117" s="45"/>
      <c r="GS117" s="28">
        <f t="shared" si="300"/>
        <v>0</v>
      </c>
      <c r="GT117" s="28">
        <f t="shared" si="301"/>
        <v>70719.823250000001</v>
      </c>
      <c r="GU117" s="682"/>
      <c r="GV117" s="682"/>
      <c r="GW117" s="682">
        <f t="shared" si="378"/>
        <v>70719.823250000001</v>
      </c>
      <c r="GX117" s="682"/>
      <c r="GY117" s="682">
        <f t="shared" si="302"/>
        <v>70719.823250000001</v>
      </c>
      <c r="GZ117" s="681">
        <f t="shared" si="324"/>
        <v>0.35304655734609108</v>
      </c>
      <c r="HA117" s="682"/>
      <c r="HB117" s="682"/>
      <c r="HC117" s="45"/>
      <c r="HD117" s="602"/>
      <c r="HE117" s="608">
        <f t="shared" si="303"/>
        <v>0</v>
      </c>
      <c r="HF117" s="602">
        <f t="shared" si="391"/>
        <v>8012520.9299999997</v>
      </c>
      <c r="HG117" s="602">
        <f ca="1">IF(EE117&lt;DATEDIF(TODAY(),$HG$1,"M"),HF117,(HF117/EE117*DATEDIF(TODAY(),$HG$1,"M")))*0</f>
        <v>0</v>
      </c>
      <c r="HH117" s="608">
        <f t="shared" ca="1" si="392"/>
        <v>0</v>
      </c>
      <c r="HI117" s="602"/>
      <c r="HJ117" s="602">
        <f t="shared" si="349"/>
        <v>0</v>
      </c>
      <c r="HK117" s="602" t="e">
        <f t="shared" si="348"/>
        <v>#DIV/0!</v>
      </c>
      <c r="HL117" s="602"/>
      <c r="HM117" s="673"/>
      <c r="HN117" s="62"/>
      <c r="HO117" s="673"/>
      <c r="HP117" s="673">
        <f t="shared" si="386"/>
        <v>0</v>
      </c>
      <c r="HQ117" s="539"/>
      <c r="HR117" s="539"/>
      <c r="HS117" s="539"/>
      <c r="HT117" s="539"/>
      <c r="HU117" s="539"/>
      <c r="HV117" s="673"/>
      <c r="HW117" s="673">
        <f t="shared" ref="HW117:HW126" si="393">HV117+HP117+HO117+HM117</f>
        <v>0</v>
      </c>
      <c r="HX117" s="539"/>
    </row>
    <row r="118" spans="1:232" s="746" customFormat="1" ht="15" customHeight="1">
      <c r="A118" s="560" t="s">
        <v>443</v>
      </c>
      <c r="B118" s="31" t="s">
        <v>21</v>
      </c>
      <c r="C118" s="31" t="s">
        <v>90</v>
      </c>
      <c r="D118" s="31">
        <v>2020</v>
      </c>
      <c r="E118" s="31" t="s">
        <v>695</v>
      </c>
      <c r="F118" s="31" t="s">
        <v>40</v>
      </c>
      <c r="G118" s="31" t="s">
        <v>141</v>
      </c>
      <c r="H118" s="31" t="s">
        <v>139</v>
      </c>
      <c r="I118" s="31"/>
      <c r="J118" s="31" t="s">
        <v>444</v>
      </c>
      <c r="K118" s="180" t="s">
        <v>665</v>
      </c>
      <c r="L118" s="114"/>
      <c r="M118" s="115"/>
      <c r="N118" s="116"/>
      <c r="O118" s="142">
        <v>1043</v>
      </c>
      <c r="P118" s="142">
        <v>320000</v>
      </c>
      <c r="Q118" s="142">
        <v>320000</v>
      </c>
      <c r="R118" s="142">
        <f t="shared" si="355"/>
        <v>10322.58064516129</v>
      </c>
      <c r="S118" s="142">
        <f t="shared" si="356"/>
        <v>306.80728667305851</v>
      </c>
      <c r="T118" s="148">
        <f t="shared" si="357"/>
        <v>306.80728667305851</v>
      </c>
      <c r="U118" s="148">
        <f t="shared" si="358"/>
        <v>113.24827915700811</v>
      </c>
      <c r="V118" s="148">
        <f t="shared" si="359"/>
        <v>10322.58064516129</v>
      </c>
      <c r="W118" s="142">
        <f t="shared" si="360"/>
        <v>33.645161290322584</v>
      </c>
      <c r="X118" s="143"/>
      <c r="Y118" s="525">
        <f t="shared" ref="Y118:Y126" si="394">10000*AD118/O118</f>
        <v>297.21955896452539</v>
      </c>
      <c r="Z118" s="143" t="s">
        <v>164</v>
      </c>
      <c r="AA118" s="143">
        <v>600</v>
      </c>
      <c r="AB118" s="144">
        <v>0.2</v>
      </c>
      <c r="AC118" s="32" t="s">
        <v>301</v>
      </c>
      <c r="AD118" s="493">
        <f t="shared" si="338"/>
        <v>31</v>
      </c>
      <c r="AE118" s="494">
        <f t="shared" ref="AE118:AE149" si="395">AD118-AI118</f>
        <v>31</v>
      </c>
      <c r="AF118" s="42"/>
      <c r="AG118" s="42"/>
      <c r="AH118" s="31">
        <v>31</v>
      </c>
      <c r="AI118" s="42"/>
      <c r="AJ118" s="797">
        <v>2393.5700000000002</v>
      </c>
      <c r="AK118" s="276">
        <v>2825.65</v>
      </c>
      <c r="AL118" s="586">
        <f t="shared" si="339"/>
        <v>77.211935483870974</v>
      </c>
      <c r="AM118" s="35">
        <f t="shared" si="340"/>
        <v>91.15</v>
      </c>
      <c r="AN118" s="35"/>
      <c r="AO118" s="35">
        <v>9.8699999999999992</v>
      </c>
      <c r="AP118" s="35"/>
      <c r="AQ118" s="53"/>
      <c r="AR118" s="53"/>
      <c r="AS118" s="53">
        <f>25/AD118</f>
        <v>0.80645161290322576</v>
      </c>
      <c r="AT118" s="53">
        <f>6/AD118</f>
        <v>0.19354838709677419</v>
      </c>
      <c r="AU118" s="53"/>
      <c r="AV118" s="35"/>
      <c r="AW118" s="51" t="s">
        <v>133</v>
      </c>
      <c r="AX118" s="51" t="s">
        <v>133</v>
      </c>
      <c r="AY118" s="35"/>
      <c r="AZ118" s="31" t="s">
        <v>398</v>
      </c>
      <c r="BA118" s="31" t="s">
        <v>98</v>
      </c>
      <c r="BB118" s="160"/>
      <c r="BC118" s="31"/>
      <c r="BD118" s="388">
        <f t="shared" si="387"/>
        <v>0</v>
      </c>
      <c r="BE118" s="388"/>
      <c r="BF118" s="126" t="s">
        <v>861</v>
      </c>
      <c r="BG118" s="126"/>
      <c r="BH118" s="73">
        <v>43781</v>
      </c>
      <c r="BI118" s="31"/>
      <c r="BJ118" s="660"/>
      <c r="BK118" s="660"/>
      <c r="BL118" s="661"/>
      <c r="BM118" s="659">
        <f t="shared" si="341"/>
        <v>0</v>
      </c>
      <c r="BN118" s="578" t="s">
        <v>235</v>
      </c>
      <c r="BO118" s="110"/>
      <c r="BP118" s="139"/>
      <c r="BQ118" s="654">
        <f t="shared" si="325"/>
        <v>0</v>
      </c>
      <c r="BR118" s="638"/>
      <c r="BS118" s="110"/>
      <c r="BT118" s="110"/>
      <c r="BU118" s="202"/>
      <c r="BV118" s="201">
        <f t="shared" ref="BV118:BV149" si="396">DATE(YEAR(BU118),MONTH(BU118)+24,DAY(BU118))</f>
        <v>731</v>
      </c>
      <c r="BW118" s="439"/>
      <c r="BX118" s="201" t="str">
        <f t="shared" si="311"/>
        <v>oui</v>
      </c>
      <c r="BY118" s="557">
        <f t="shared" si="312"/>
        <v>-1475.1666666666667</v>
      </c>
      <c r="BZ118" s="439">
        <f t="shared" si="313"/>
        <v>0</v>
      </c>
      <c r="CA118" s="439">
        <f t="shared" si="314"/>
        <v>0</v>
      </c>
      <c r="CB118" s="81">
        <v>43437</v>
      </c>
      <c r="CC118" s="81">
        <v>43453</v>
      </c>
      <c r="CD118" s="81">
        <v>43437</v>
      </c>
      <c r="CE118" s="326">
        <f t="shared" si="380"/>
        <v>-16</v>
      </c>
      <c r="CF118" s="81">
        <v>43614</v>
      </c>
      <c r="CG118" s="81">
        <v>43614</v>
      </c>
      <c r="CH118" s="326">
        <f t="shared" si="381"/>
        <v>0</v>
      </c>
      <c r="CI118" s="81">
        <v>43631</v>
      </c>
      <c r="CJ118" s="81">
        <v>43693</v>
      </c>
      <c r="CK118" s="326">
        <f t="shared" si="382"/>
        <v>62</v>
      </c>
      <c r="CL118" s="214">
        <v>43731</v>
      </c>
      <c r="CM118" s="214">
        <v>43853</v>
      </c>
      <c r="CN118" s="448">
        <f t="shared" si="383"/>
        <v>122</v>
      </c>
      <c r="CO118" s="341">
        <v>43766</v>
      </c>
      <c r="CP118" s="341">
        <f ca="1">IF(CO118&lt;TODAY(),TODAY(),CO118)</f>
        <v>43950</v>
      </c>
      <c r="CQ118" s="343">
        <f t="shared" ca="1" si="342"/>
        <v>184</v>
      </c>
      <c r="CR118" s="290"/>
      <c r="CS118" s="341"/>
      <c r="CT118" s="330">
        <v>43808</v>
      </c>
      <c r="CU118" s="331"/>
      <c r="CV118" s="332" t="str">
        <f t="shared" si="337"/>
        <v>0</v>
      </c>
      <c r="CW118" s="498">
        <v>44378</v>
      </c>
      <c r="CX118" s="449">
        <v>44378</v>
      </c>
      <c r="CY118" s="233"/>
      <c r="CZ118" s="284">
        <f t="shared" si="327"/>
        <v>1479.2666666666667</v>
      </c>
      <c r="DA118" s="332">
        <f t="shared" ref="DA118:DA152" si="397">IF(AND(CW118&gt;0,CX118&gt;0),CX118-CW118,"0")</f>
        <v>0</v>
      </c>
      <c r="DB118" s="450">
        <v>16</v>
      </c>
      <c r="DC118" s="169">
        <f t="shared" ref="DC118:DC152" si="398">DATEDIF(CX118,EC118,"M")</f>
        <v>19</v>
      </c>
      <c r="DD118" s="330"/>
      <c r="DE118" s="335">
        <f t="shared" ca="1" si="366"/>
        <v>43950</v>
      </c>
      <c r="DF118" s="332" t="str">
        <f t="shared" ca="1" si="319"/>
        <v>0</v>
      </c>
      <c r="DG118" s="330"/>
      <c r="DH118" s="348">
        <f t="shared" ca="1" si="367"/>
        <v>43950</v>
      </c>
      <c r="DI118" s="333" t="str">
        <f t="shared" ref="DI118:DI149" ca="1" si="399">IF(AND(DG118&gt;0,DH118&gt;0),DH118-DG118,"0")</f>
        <v>0</v>
      </c>
      <c r="DJ118" s="334"/>
      <c r="DK118" s="348">
        <f t="shared" ca="1" si="368"/>
        <v>43950</v>
      </c>
      <c r="DL118" s="332" t="str">
        <f t="shared" ca="1" si="347"/>
        <v>0</v>
      </c>
      <c r="DM118" s="335"/>
      <c r="DN118" s="335">
        <f t="shared" ca="1" si="369"/>
        <v>43950</v>
      </c>
      <c r="DO118" s="332" t="str">
        <f t="shared" ref="DO118:DO149" ca="1" si="400">IF(AND(DM118&gt;0,DN118&gt;0),DN118-DM118,"0")</f>
        <v>0</v>
      </c>
      <c r="DP118" s="336"/>
      <c r="DQ118" s="336"/>
      <c r="DR118" s="332" t="str">
        <f t="shared" ref="DR118:DR149" si="401">IF(AND(DP118&gt;0,DQ118&gt;0),DQ118-DP118,"0")</f>
        <v>0</v>
      </c>
      <c r="DS118" s="335"/>
      <c r="DT118" s="335">
        <f t="shared" ca="1" si="370"/>
        <v>43950</v>
      </c>
      <c r="DU118" s="332" t="str">
        <f t="shared" ref="DU118:DU149" ca="1" si="402">IF(AND(DS118&gt;0,DT118&gt;0),DT118-DS118,"0")</f>
        <v>0</v>
      </c>
      <c r="DV118" s="335"/>
      <c r="DW118" s="335">
        <f t="shared" ca="1" si="371"/>
        <v>43950</v>
      </c>
      <c r="DX118" s="332" t="str">
        <f t="shared" ref="DX118:DX149" ca="1" si="403">IF(AND(DV118&gt;0,DW118&gt;0),DW118-DV118,"0")</f>
        <v>0</v>
      </c>
      <c r="DY118" s="335"/>
      <c r="DZ118" s="335"/>
      <c r="EA118" s="335"/>
      <c r="EB118" s="477">
        <f t="shared" si="350"/>
        <v>44866</v>
      </c>
      <c r="EC118" s="476">
        <f>DATE(YEAR(EB118),MONTH(EB118)+3,DAY(EB118))</f>
        <v>44958</v>
      </c>
      <c r="ED118" s="473">
        <f t="shared" si="343"/>
        <v>3.0666666666666669</v>
      </c>
      <c r="EE118" s="605">
        <f t="shared" ca="1" si="372"/>
        <v>33.6</v>
      </c>
      <c r="EF118" s="476">
        <f t="shared" ca="1" si="373"/>
        <v>44680</v>
      </c>
      <c r="EG118" s="535"/>
      <c r="EH118" s="526"/>
      <c r="EI118" s="536">
        <f t="shared" si="388"/>
        <v>45080</v>
      </c>
      <c r="EJ118" s="295"/>
      <c r="EK118" s="534">
        <f t="shared" si="384"/>
        <v>44896</v>
      </c>
      <c r="EL118" s="476">
        <f t="shared" si="375"/>
        <v>44986</v>
      </c>
      <c r="EM118" s="368"/>
      <c r="EN118" s="471">
        <f t="shared" si="389"/>
        <v>3</v>
      </c>
      <c r="EO118" s="461"/>
      <c r="EP118" s="173">
        <f t="shared" si="352"/>
        <v>0</v>
      </c>
      <c r="EQ118" s="77"/>
      <c r="ER118" s="353"/>
      <c r="ES118" s="353">
        <v>0</v>
      </c>
      <c r="ET118" s="353"/>
      <c r="EU118" s="353"/>
      <c r="EV118" s="353"/>
      <c r="EW118" s="483">
        <f t="shared" si="361"/>
        <v>0</v>
      </c>
      <c r="EX118" s="350"/>
      <c r="EY118" s="362"/>
      <c r="EZ118" s="350"/>
      <c r="FA118" s="350" t="s">
        <v>816</v>
      </c>
      <c r="FB118" s="126">
        <f t="shared" ca="1" si="385"/>
        <v>44680</v>
      </c>
      <c r="FC118" s="80"/>
      <c r="FD118" s="80"/>
      <c r="FE118" s="80"/>
      <c r="FF118" s="80"/>
      <c r="FG118" s="80"/>
      <c r="FH118" s="31"/>
      <c r="FI118" s="194">
        <f t="shared" si="351"/>
        <v>45323</v>
      </c>
      <c r="FJ118" s="194"/>
      <c r="FK118" s="31"/>
      <c r="FL118" s="31"/>
      <c r="FM118" s="31"/>
      <c r="FN118" s="31"/>
      <c r="FO118" s="31"/>
      <c r="FP118" s="31"/>
      <c r="FQ118" s="31"/>
      <c r="FR118" s="31"/>
      <c r="FS118" s="31"/>
      <c r="FT118" s="31"/>
      <c r="FU118" s="31"/>
      <c r="FV118" s="31"/>
      <c r="FW118" s="31"/>
      <c r="FX118" s="529"/>
      <c r="FY118" s="652">
        <f t="shared" si="344"/>
        <v>6208205.7600000007</v>
      </c>
      <c r="FZ118" s="550">
        <f t="shared" si="365"/>
        <v>6208205.7600000007</v>
      </c>
      <c r="GA118" s="45">
        <f t="shared" si="322"/>
        <v>6208205.7600000007</v>
      </c>
      <c r="GB118" s="602">
        <f t="shared" si="390"/>
        <v>0</v>
      </c>
      <c r="GC118" s="28">
        <f t="shared" si="345"/>
        <v>2197.0894342894558</v>
      </c>
      <c r="GD118" s="28">
        <f t="shared" si="353"/>
        <v>200264.7019354839</v>
      </c>
      <c r="GE118" s="45">
        <v>2196364.56</v>
      </c>
      <c r="GF118" s="417"/>
      <c r="GG118" s="28">
        <f t="shared" si="323"/>
        <v>70850.469677419358</v>
      </c>
      <c r="GH118" s="45">
        <f t="shared" si="362"/>
        <v>3228267</v>
      </c>
      <c r="GI118" s="59">
        <v>418257.16</v>
      </c>
      <c r="GJ118" s="59">
        <v>2810009.84</v>
      </c>
      <c r="GK118" s="407">
        <f t="shared" si="354"/>
        <v>104137.64516129032</v>
      </c>
      <c r="GL118" s="45">
        <v>783574.2</v>
      </c>
      <c r="GM118" s="45"/>
      <c r="GN118" s="45"/>
      <c r="GO118" s="23">
        <f t="shared" si="346"/>
        <v>0</v>
      </c>
      <c r="GP118" s="45"/>
      <c r="GQ118" s="45"/>
      <c r="GR118" s="45"/>
      <c r="GS118" s="28">
        <f t="shared" ref="GS118:GS123" si="404">GM118/AD118</f>
        <v>0</v>
      </c>
      <c r="GT118" s="28">
        <f t="shared" ref="GT118:GT123" si="405">(GE118+GM118)/AD118</f>
        <v>70850.469677419358</v>
      </c>
      <c r="GU118" s="682"/>
      <c r="GV118" s="682"/>
      <c r="GW118" s="682">
        <f t="shared" si="378"/>
        <v>70850.469677419358</v>
      </c>
      <c r="GX118" s="682"/>
      <c r="GY118" s="682">
        <f t="shared" ref="GY118:GY149" si="406">(GE118+GM118+GV118+GX118)/AD118</f>
        <v>70850.469677419358</v>
      </c>
      <c r="GZ118" s="681">
        <f t="shared" si="324"/>
        <v>0.35378411169155577</v>
      </c>
      <c r="HA118" s="682"/>
      <c r="HB118" s="682"/>
      <c r="HC118" s="45">
        <f>ES118</f>
        <v>0</v>
      </c>
      <c r="HD118" s="602">
        <v>55601</v>
      </c>
      <c r="HE118" s="608">
        <f t="shared" ref="HE118:HE149" si="407">HD118/FZ118</f>
        <v>8.9560498072151513E-3</v>
      </c>
      <c r="HF118" s="602">
        <f t="shared" si="391"/>
        <v>6152604.7600000007</v>
      </c>
      <c r="HG118" s="602">
        <f ca="1">IF(EE118&lt;DATEDIF(TODAY(),$HG$1,"M"),HF118,(HF118/EE118*DATEDIF(TODAY(),$HG$1,"M")))*0+100000</f>
        <v>100000</v>
      </c>
      <c r="HH118" s="608">
        <f t="shared" ca="1" si="392"/>
        <v>2.5063763350523998E-2</v>
      </c>
      <c r="HI118" s="602"/>
      <c r="HJ118" s="602">
        <f t="shared" si="349"/>
        <v>0</v>
      </c>
      <c r="HK118" s="602" t="e">
        <f t="shared" si="348"/>
        <v>#DIV/0!</v>
      </c>
      <c r="HL118" s="602"/>
      <c r="HM118" s="673"/>
      <c r="HN118" s="62"/>
      <c r="HO118" s="673"/>
      <c r="HP118" s="673">
        <f t="shared" si="386"/>
        <v>0</v>
      </c>
      <c r="HQ118" s="539"/>
      <c r="HR118" s="539"/>
      <c r="HS118" s="539"/>
      <c r="HT118" s="539"/>
      <c r="HU118" s="539"/>
      <c r="HV118" s="673"/>
      <c r="HW118" s="673">
        <f t="shared" si="393"/>
        <v>0</v>
      </c>
      <c r="HX118" s="539"/>
    </row>
    <row r="119" spans="1:232" ht="15" customHeight="1">
      <c r="A119" s="58" t="s">
        <v>911</v>
      </c>
      <c r="B119" s="31" t="s">
        <v>21</v>
      </c>
      <c r="C119" s="31" t="s">
        <v>90</v>
      </c>
      <c r="D119" s="31">
        <v>2020</v>
      </c>
      <c r="E119" s="6" t="s">
        <v>879</v>
      </c>
      <c r="F119" s="31" t="s">
        <v>709</v>
      </c>
      <c r="G119" s="31" t="s">
        <v>464</v>
      </c>
      <c r="H119" s="31" t="s">
        <v>890</v>
      </c>
      <c r="I119" s="31"/>
      <c r="J119" s="31" t="s">
        <v>745</v>
      </c>
      <c r="K119" s="180"/>
      <c r="L119" s="114"/>
      <c r="M119" s="115"/>
      <c r="N119" s="116"/>
      <c r="O119" s="159">
        <v>3010</v>
      </c>
      <c r="P119" s="142"/>
      <c r="Q119" s="142"/>
      <c r="R119" s="142">
        <f t="shared" si="355"/>
        <v>0</v>
      </c>
      <c r="S119" s="142">
        <f t="shared" si="356"/>
        <v>0</v>
      </c>
      <c r="T119" s="148">
        <f t="shared" si="357"/>
        <v>0</v>
      </c>
      <c r="U119" s="148"/>
      <c r="V119" s="148">
        <f t="shared" si="359"/>
        <v>0</v>
      </c>
      <c r="W119" s="142">
        <f t="shared" si="360"/>
        <v>100.33333333333333</v>
      </c>
      <c r="X119" s="143"/>
      <c r="Y119" s="525">
        <f t="shared" si="394"/>
        <v>99.667774086378742</v>
      </c>
      <c r="Z119" s="143"/>
      <c r="AA119" s="143"/>
      <c r="AB119" s="144"/>
      <c r="AC119" s="31" t="s">
        <v>9</v>
      </c>
      <c r="AD119" s="493">
        <f t="shared" si="338"/>
        <v>30</v>
      </c>
      <c r="AE119" s="494">
        <f t="shared" si="395"/>
        <v>30</v>
      </c>
      <c r="AF119" s="31">
        <v>30</v>
      </c>
      <c r="AG119" s="42"/>
      <c r="AH119" s="42"/>
      <c r="AI119" s="42"/>
      <c r="AJ119" s="796">
        <v>1475.35</v>
      </c>
      <c r="AK119" s="276">
        <v>1704.4</v>
      </c>
      <c r="AL119" s="586">
        <f t="shared" si="339"/>
        <v>49.178333333333327</v>
      </c>
      <c r="AM119" s="35">
        <f t="shared" si="340"/>
        <v>56.81333333333334</v>
      </c>
      <c r="AN119" s="35"/>
      <c r="AO119" s="35"/>
      <c r="AP119" s="35"/>
      <c r="AQ119" s="53"/>
      <c r="AR119" s="53"/>
      <c r="AS119" s="53"/>
      <c r="AT119" s="53"/>
      <c r="AU119" s="53"/>
      <c r="AV119" s="35"/>
      <c r="AW119" s="51"/>
      <c r="AX119" s="53"/>
      <c r="AY119" s="35"/>
      <c r="AZ119" s="31"/>
      <c r="BA119" s="31"/>
      <c r="BB119" s="160">
        <v>3216150</v>
      </c>
      <c r="BC119" s="504">
        <f t="shared" ref="BC119:BC126" si="408">BB119/AJ119</f>
        <v>2179.9234080048805</v>
      </c>
      <c r="BD119" s="388">
        <f t="shared" si="387"/>
        <v>1886.9690213564891</v>
      </c>
      <c r="BE119" s="392">
        <f t="shared" ref="BE119:BE126" si="409">BB119/AD119</f>
        <v>107205</v>
      </c>
      <c r="BF119" s="126">
        <v>43706</v>
      </c>
      <c r="BG119" s="126"/>
      <c r="BH119" s="73">
        <v>43781</v>
      </c>
      <c r="BI119" s="31"/>
      <c r="BJ119" s="660"/>
      <c r="BK119" s="660"/>
      <c r="BL119" s="661"/>
      <c r="BM119" s="659">
        <f t="shared" si="341"/>
        <v>0</v>
      </c>
      <c r="BN119" s="578" t="s">
        <v>235</v>
      </c>
      <c r="BO119" s="110"/>
      <c r="BP119" s="139"/>
      <c r="BQ119" s="654">
        <f t="shared" si="325"/>
        <v>0</v>
      </c>
      <c r="BR119" s="638"/>
      <c r="BS119" s="110"/>
      <c r="BT119" s="110"/>
      <c r="BU119" s="202"/>
      <c r="BV119" s="201"/>
      <c r="BW119" s="439"/>
      <c r="BX119" s="555"/>
      <c r="BY119" s="556"/>
      <c r="BZ119" s="556"/>
      <c r="CA119" s="556"/>
      <c r="CB119" s="339"/>
      <c r="CC119" s="341"/>
      <c r="CD119" s="341"/>
      <c r="CE119" s="343" t="str">
        <f t="shared" si="380"/>
        <v>0</v>
      </c>
      <c r="CF119" s="341"/>
      <c r="CG119" s="341"/>
      <c r="CH119" s="343" t="str">
        <f t="shared" si="381"/>
        <v>0</v>
      </c>
      <c r="CI119" s="341"/>
      <c r="CJ119" s="341"/>
      <c r="CK119" s="343" t="str">
        <f t="shared" si="382"/>
        <v>0</v>
      </c>
      <c r="CL119" s="341"/>
      <c r="CM119" s="341"/>
      <c r="CN119" s="343" t="str">
        <f t="shared" si="383"/>
        <v>0</v>
      </c>
      <c r="CO119" s="341"/>
      <c r="CP119" s="341"/>
      <c r="CQ119" s="343" t="str">
        <f t="shared" si="342"/>
        <v>0</v>
      </c>
      <c r="CR119" s="290"/>
      <c r="CS119" s="339"/>
      <c r="CT119" s="330"/>
      <c r="CU119" s="331"/>
      <c r="CV119" s="332" t="str">
        <f t="shared" si="337"/>
        <v>0</v>
      </c>
      <c r="CW119" s="498"/>
      <c r="CX119" s="449">
        <v>44275</v>
      </c>
      <c r="CY119" s="233"/>
      <c r="CZ119" s="284">
        <f t="shared" si="327"/>
        <v>1475.8333333333333</v>
      </c>
      <c r="DA119" s="332" t="str">
        <f t="shared" si="397"/>
        <v>0</v>
      </c>
      <c r="DB119" s="450">
        <v>24</v>
      </c>
      <c r="DC119" s="169">
        <f t="shared" si="398"/>
        <v>24</v>
      </c>
      <c r="DD119" s="330"/>
      <c r="DE119" s="335">
        <f t="shared" ca="1" si="366"/>
        <v>43950</v>
      </c>
      <c r="DF119" s="332" t="str">
        <f t="shared" ca="1" si="319"/>
        <v>0</v>
      </c>
      <c r="DG119" s="330"/>
      <c r="DH119" s="348">
        <f t="shared" ca="1" si="367"/>
        <v>43950</v>
      </c>
      <c r="DI119" s="333" t="str">
        <f t="shared" ca="1" si="399"/>
        <v>0</v>
      </c>
      <c r="DJ119" s="334"/>
      <c r="DK119" s="348">
        <f t="shared" ca="1" si="368"/>
        <v>43950</v>
      </c>
      <c r="DL119" s="332" t="str">
        <f t="shared" ca="1" si="347"/>
        <v>0</v>
      </c>
      <c r="DM119" s="335"/>
      <c r="DN119" s="335">
        <f t="shared" ca="1" si="369"/>
        <v>43950</v>
      </c>
      <c r="DO119" s="332" t="str">
        <f t="shared" ca="1" si="400"/>
        <v>0</v>
      </c>
      <c r="DP119" s="336"/>
      <c r="DQ119" s="336"/>
      <c r="DR119" s="332" t="str">
        <f t="shared" si="401"/>
        <v>0</v>
      </c>
      <c r="DS119" s="335"/>
      <c r="DT119" s="335">
        <f t="shared" ca="1" si="370"/>
        <v>43950</v>
      </c>
      <c r="DU119" s="332" t="str">
        <f t="shared" ca="1" si="402"/>
        <v>0</v>
      </c>
      <c r="DV119" s="335"/>
      <c r="DW119" s="335">
        <f t="shared" ca="1" si="371"/>
        <v>43950</v>
      </c>
      <c r="DX119" s="332" t="str">
        <f t="shared" ca="1" si="403"/>
        <v>0</v>
      </c>
      <c r="DY119" s="336"/>
      <c r="DZ119" s="336"/>
      <c r="EA119" s="336"/>
      <c r="EB119" s="477">
        <f t="shared" si="350"/>
        <v>45005</v>
      </c>
      <c r="EC119" s="476">
        <f t="shared" ref="EC119:EC132" si="410">DATE(YEAR(EB119),MONTH(EB119),DAY(EB119))</f>
        <v>45005</v>
      </c>
      <c r="ED119" s="473">
        <f t="shared" si="343"/>
        <v>0</v>
      </c>
      <c r="EE119" s="605">
        <f t="shared" ca="1" si="372"/>
        <v>35.166666666666664</v>
      </c>
      <c r="EF119" s="476">
        <f t="shared" ca="1" si="373"/>
        <v>44680</v>
      </c>
      <c r="EG119" s="535"/>
      <c r="EH119" s="526"/>
      <c r="EI119" s="536">
        <f t="shared" si="388"/>
        <v>45129</v>
      </c>
      <c r="EJ119" s="295"/>
      <c r="EK119" s="534">
        <f t="shared" si="384"/>
        <v>45036</v>
      </c>
      <c r="EL119" s="476">
        <f t="shared" si="375"/>
        <v>45036</v>
      </c>
      <c r="EM119" s="368"/>
      <c r="EN119" s="471">
        <f t="shared" si="389"/>
        <v>0</v>
      </c>
      <c r="EO119" s="461"/>
      <c r="EP119" s="173">
        <f t="shared" si="352"/>
        <v>0</v>
      </c>
      <c r="EQ119" s="77"/>
      <c r="ER119" s="353"/>
      <c r="ES119" s="353"/>
      <c r="ET119" s="353"/>
      <c r="EU119" s="353"/>
      <c r="EV119" s="353"/>
      <c r="EW119" s="483">
        <f t="shared" si="361"/>
        <v>0</v>
      </c>
      <c r="EX119" s="350"/>
      <c r="EY119" s="362"/>
      <c r="EZ119" s="350"/>
      <c r="FA119" s="350" t="s">
        <v>819</v>
      </c>
      <c r="FB119" s="126">
        <f t="shared" ca="1" si="385"/>
        <v>44680</v>
      </c>
      <c r="FC119" s="80"/>
      <c r="FD119" s="80"/>
      <c r="FE119" s="80"/>
      <c r="FF119" s="80"/>
      <c r="FG119" s="80"/>
      <c r="FH119" s="31"/>
      <c r="FI119" s="194">
        <f t="shared" si="351"/>
        <v>45371</v>
      </c>
      <c r="FJ119" s="194"/>
      <c r="FK119" s="31"/>
      <c r="FL119" s="31"/>
      <c r="FM119" s="31"/>
      <c r="FN119" s="31"/>
      <c r="FO119" s="31"/>
      <c r="FP119" s="31"/>
      <c r="FQ119" s="31"/>
      <c r="FR119" s="31"/>
      <c r="FS119" s="31"/>
      <c r="FT119" s="31"/>
      <c r="FU119" s="31"/>
      <c r="FV119" s="31"/>
      <c r="FW119" s="31"/>
      <c r="FX119" s="529"/>
      <c r="FY119" s="652">
        <f t="shared" si="344"/>
        <v>3363092.62</v>
      </c>
      <c r="FZ119" s="500">
        <f t="shared" si="365"/>
        <v>3363092.62</v>
      </c>
      <c r="GA119" s="45">
        <f t="shared" si="322"/>
        <v>3363092.62</v>
      </c>
      <c r="GB119" s="602">
        <f t="shared" si="390"/>
        <v>750000</v>
      </c>
      <c r="GC119" s="28">
        <f t="shared" si="345"/>
        <v>1973.182715325041</v>
      </c>
      <c r="GD119" s="28">
        <f t="shared" si="353"/>
        <v>112103.08733333334</v>
      </c>
      <c r="GE119" s="45">
        <v>886914</v>
      </c>
      <c r="GF119" s="417"/>
      <c r="GG119" s="28">
        <f t="shared" si="323"/>
        <v>29563.8</v>
      </c>
      <c r="GH119" s="45">
        <f t="shared" si="362"/>
        <v>1726178.62</v>
      </c>
      <c r="GI119" s="59">
        <v>261569.62</v>
      </c>
      <c r="GJ119" s="59">
        <v>1464609</v>
      </c>
      <c r="GK119" s="408">
        <f t="shared" si="354"/>
        <v>57539.287333333334</v>
      </c>
      <c r="GL119" s="45"/>
      <c r="GM119" s="45">
        <v>750000</v>
      </c>
      <c r="GN119" s="45"/>
      <c r="GO119" s="60">
        <f t="shared" si="346"/>
        <v>0.22300902316511281</v>
      </c>
      <c r="GP119" s="45"/>
      <c r="GQ119" s="45"/>
      <c r="GR119" s="45"/>
      <c r="GS119" s="28">
        <f t="shared" si="404"/>
        <v>25000</v>
      </c>
      <c r="GT119" s="28">
        <f t="shared" si="405"/>
        <v>54563.8</v>
      </c>
      <c r="GU119" s="682"/>
      <c r="GV119" s="682"/>
      <c r="GW119" s="682">
        <f t="shared" si="378"/>
        <v>54563.8</v>
      </c>
      <c r="GX119" s="682"/>
      <c r="GY119" s="682">
        <f t="shared" si="406"/>
        <v>54563.8</v>
      </c>
      <c r="GZ119" s="681">
        <f t="shared" si="324"/>
        <v>0.48672878952706333</v>
      </c>
      <c r="HA119" s="682"/>
      <c r="HB119" s="682"/>
      <c r="HC119" s="45"/>
      <c r="HD119" s="602"/>
      <c r="HE119" s="608">
        <f t="shared" si="407"/>
        <v>0</v>
      </c>
      <c r="HF119" s="602">
        <f t="shared" si="391"/>
        <v>3363092.62</v>
      </c>
      <c r="HG119" s="602">
        <f ca="1">IF(EE119&lt;DATEDIF(TODAY(),$HG$1,"M"),HF119,(HF119/EE119*DATEDIF(TODAY(),$HG$1,"M")))*0</f>
        <v>0</v>
      </c>
      <c r="HH119" s="608">
        <f t="shared" ca="1" si="392"/>
        <v>0</v>
      </c>
      <c r="HI119" s="602"/>
      <c r="HJ119" s="602">
        <f t="shared" si="349"/>
        <v>750000</v>
      </c>
      <c r="HK119" s="602">
        <f t="shared" si="348"/>
        <v>0</v>
      </c>
      <c r="HL119" s="602"/>
      <c r="HM119" s="673"/>
      <c r="HN119" s="62"/>
      <c r="HO119" s="673"/>
      <c r="HP119" s="673">
        <f t="shared" si="386"/>
        <v>0</v>
      </c>
      <c r="HQ119" s="539"/>
      <c r="HR119" s="539"/>
      <c r="HS119" s="539"/>
      <c r="HT119" s="539"/>
      <c r="HU119" s="539"/>
      <c r="HV119" s="673"/>
      <c r="HW119" s="673">
        <f t="shared" si="393"/>
        <v>0</v>
      </c>
      <c r="HX119" s="539"/>
    </row>
    <row r="120" spans="1:232" ht="15" customHeight="1">
      <c r="A120" s="58" t="s">
        <v>917</v>
      </c>
      <c r="B120" s="31" t="s">
        <v>21</v>
      </c>
      <c r="C120" s="31" t="s">
        <v>90</v>
      </c>
      <c r="D120" s="31">
        <v>2020</v>
      </c>
      <c r="E120" s="31" t="s">
        <v>879</v>
      </c>
      <c r="F120" s="74"/>
      <c r="G120" s="74"/>
      <c r="H120" s="31" t="s">
        <v>287</v>
      </c>
      <c r="I120" s="31"/>
      <c r="J120" s="31" t="s">
        <v>745</v>
      </c>
      <c r="K120" s="180"/>
      <c r="L120" s="114"/>
      <c r="M120" s="115"/>
      <c r="N120" s="116"/>
      <c r="O120" s="159">
        <v>3010</v>
      </c>
      <c r="P120" s="142"/>
      <c r="Q120" s="142"/>
      <c r="R120" s="142">
        <f t="shared" si="355"/>
        <v>0</v>
      </c>
      <c r="S120" s="142">
        <f t="shared" si="356"/>
        <v>0</v>
      </c>
      <c r="T120" s="148">
        <f t="shared" si="357"/>
        <v>0</v>
      </c>
      <c r="U120" s="148"/>
      <c r="V120" s="148">
        <f t="shared" si="359"/>
        <v>0</v>
      </c>
      <c r="W120" s="142">
        <f t="shared" si="360"/>
        <v>32.365591397849464</v>
      </c>
      <c r="X120" s="143"/>
      <c r="Y120" s="525">
        <f t="shared" si="394"/>
        <v>308.97009966777409</v>
      </c>
      <c r="Z120" s="143"/>
      <c r="AA120" s="143"/>
      <c r="AB120" s="144"/>
      <c r="AC120" s="31" t="s">
        <v>301</v>
      </c>
      <c r="AD120" s="493">
        <f t="shared" si="338"/>
        <v>93</v>
      </c>
      <c r="AE120" s="494">
        <f t="shared" si="395"/>
        <v>93</v>
      </c>
      <c r="AF120" s="42"/>
      <c r="AG120" s="42"/>
      <c r="AH120" s="131">
        <v>93</v>
      </c>
      <c r="AI120" s="42"/>
      <c r="AJ120" s="796">
        <v>6211.09</v>
      </c>
      <c r="AK120" s="276">
        <v>7525.98</v>
      </c>
      <c r="AL120" s="586">
        <f t="shared" si="339"/>
        <v>66.785913978494619</v>
      </c>
      <c r="AM120" s="35">
        <f t="shared" si="340"/>
        <v>80.924516129032256</v>
      </c>
      <c r="AN120" s="35"/>
      <c r="AO120" s="35"/>
      <c r="AP120" s="35"/>
      <c r="AQ120" s="53"/>
      <c r="AR120" s="53"/>
      <c r="AS120" s="53"/>
      <c r="AT120" s="53"/>
      <c r="AU120" s="53"/>
      <c r="AV120" s="35"/>
      <c r="AW120" s="51"/>
      <c r="AX120" s="53"/>
      <c r="AY120" s="35"/>
      <c r="AZ120" s="31"/>
      <c r="BA120" s="31"/>
      <c r="BB120" s="160">
        <v>15723400</v>
      </c>
      <c r="BC120" s="504">
        <f t="shared" si="408"/>
        <v>2531.5041321249569</v>
      </c>
      <c r="BD120" s="388">
        <f t="shared" si="387"/>
        <v>2089.2162881113159</v>
      </c>
      <c r="BE120" s="392">
        <f t="shared" si="409"/>
        <v>169068.81720430107</v>
      </c>
      <c r="BF120" s="126">
        <v>43706</v>
      </c>
      <c r="BG120" s="126"/>
      <c r="BH120" s="73">
        <v>43781</v>
      </c>
      <c r="BI120" s="31"/>
      <c r="BJ120" s="660"/>
      <c r="BK120" s="660"/>
      <c r="BL120" s="661"/>
      <c r="BM120" s="659">
        <f t="shared" si="341"/>
        <v>0</v>
      </c>
      <c r="BN120" s="578" t="s">
        <v>235</v>
      </c>
      <c r="BO120" s="110"/>
      <c r="BP120" s="139"/>
      <c r="BQ120" s="654">
        <f t="shared" si="325"/>
        <v>0</v>
      </c>
      <c r="BR120" s="638"/>
      <c r="BS120" s="110"/>
      <c r="BT120" s="110"/>
      <c r="BU120" s="202"/>
      <c r="BV120" s="201"/>
      <c r="BW120" s="439"/>
      <c r="BX120" s="555"/>
      <c r="BY120" s="556"/>
      <c r="BZ120" s="556"/>
      <c r="CA120" s="556"/>
      <c r="CB120" s="339"/>
      <c r="CC120" s="341"/>
      <c r="CD120" s="341"/>
      <c r="CE120" s="343" t="str">
        <f t="shared" si="380"/>
        <v>0</v>
      </c>
      <c r="CF120" s="341"/>
      <c r="CG120" s="341"/>
      <c r="CH120" s="343" t="str">
        <f t="shared" si="381"/>
        <v>0</v>
      </c>
      <c r="CI120" s="341"/>
      <c r="CJ120" s="341"/>
      <c r="CK120" s="343" t="str">
        <f t="shared" si="382"/>
        <v>0</v>
      </c>
      <c r="CL120" s="341"/>
      <c r="CM120" s="341"/>
      <c r="CN120" s="343" t="str">
        <f t="shared" si="383"/>
        <v>0</v>
      </c>
      <c r="CO120" s="341"/>
      <c r="CP120" s="341"/>
      <c r="CQ120" s="343" t="str">
        <f t="shared" si="342"/>
        <v>0</v>
      </c>
      <c r="CR120" s="290"/>
      <c r="CS120" s="339"/>
      <c r="CT120" s="330"/>
      <c r="CU120" s="331"/>
      <c r="CV120" s="332" t="str">
        <f t="shared" si="337"/>
        <v>0</v>
      </c>
      <c r="CW120" s="498"/>
      <c r="CX120" s="449">
        <v>44275</v>
      </c>
      <c r="CY120" s="233"/>
      <c r="CZ120" s="284">
        <f t="shared" si="327"/>
        <v>1475.8333333333333</v>
      </c>
      <c r="DA120" s="332" t="str">
        <f t="shared" si="397"/>
        <v>0</v>
      </c>
      <c r="DB120" s="450">
        <v>24</v>
      </c>
      <c r="DC120" s="169">
        <f t="shared" si="398"/>
        <v>24</v>
      </c>
      <c r="DD120" s="330"/>
      <c r="DE120" s="335">
        <f t="shared" ca="1" si="366"/>
        <v>43950</v>
      </c>
      <c r="DF120" s="332" t="str">
        <f t="shared" ref="DF120:DF151" ca="1" si="411">IF(AND(DD120&gt;0,DE120&gt;0),DE120-DD120,"0")</f>
        <v>0</v>
      </c>
      <c r="DG120" s="330"/>
      <c r="DH120" s="348">
        <f t="shared" ca="1" si="367"/>
        <v>43950</v>
      </c>
      <c r="DI120" s="333" t="str">
        <f t="shared" ca="1" si="399"/>
        <v>0</v>
      </c>
      <c r="DJ120" s="334"/>
      <c r="DK120" s="348">
        <f t="shared" ca="1" si="368"/>
        <v>43950</v>
      </c>
      <c r="DL120" s="332" t="str">
        <f t="shared" ca="1" si="347"/>
        <v>0</v>
      </c>
      <c r="DM120" s="335"/>
      <c r="DN120" s="335">
        <f t="shared" ca="1" si="369"/>
        <v>43950</v>
      </c>
      <c r="DO120" s="332" t="str">
        <f t="shared" ca="1" si="400"/>
        <v>0</v>
      </c>
      <c r="DP120" s="336"/>
      <c r="DQ120" s="336"/>
      <c r="DR120" s="332" t="str">
        <f t="shared" si="401"/>
        <v>0</v>
      </c>
      <c r="DS120" s="335"/>
      <c r="DT120" s="335">
        <f t="shared" ca="1" si="370"/>
        <v>43950</v>
      </c>
      <c r="DU120" s="332" t="str">
        <f t="shared" ca="1" si="402"/>
        <v>0</v>
      </c>
      <c r="DV120" s="335"/>
      <c r="DW120" s="335">
        <f t="shared" ca="1" si="371"/>
        <v>43950</v>
      </c>
      <c r="DX120" s="332" t="str">
        <f t="shared" ca="1" si="403"/>
        <v>0</v>
      </c>
      <c r="DY120" s="336"/>
      <c r="DZ120" s="336"/>
      <c r="EA120" s="336"/>
      <c r="EB120" s="477">
        <f t="shared" si="350"/>
        <v>45005</v>
      </c>
      <c r="EC120" s="476">
        <f t="shared" si="410"/>
        <v>45005</v>
      </c>
      <c r="ED120" s="473">
        <f t="shared" si="343"/>
        <v>0</v>
      </c>
      <c r="EE120" s="605">
        <f t="shared" ca="1" si="372"/>
        <v>35.166666666666664</v>
      </c>
      <c r="EF120" s="476">
        <f t="shared" ca="1" si="373"/>
        <v>44680</v>
      </c>
      <c r="EG120" s="535"/>
      <c r="EH120" s="526"/>
      <c r="EI120" s="536">
        <f t="shared" si="388"/>
        <v>45129</v>
      </c>
      <c r="EJ120" s="295"/>
      <c r="EK120" s="534">
        <f t="shared" si="384"/>
        <v>45036</v>
      </c>
      <c r="EL120" s="476">
        <f t="shared" si="375"/>
        <v>45036</v>
      </c>
      <c r="EM120" s="368"/>
      <c r="EN120" s="471">
        <f t="shared" si="389"/>
        <v>0</v>
      </c>
      <c r="EO120" s="461"/>
      <c r="EP120" s="173">
        <f t="shared" si="352"/>
        <v>0</v>
      </c>
      <c r="EQ120" s="77"/>
      <c r="ER120" s="353"/>
      <c r="ES120" s="353"/>
      <c r="ET120" s="353"/>
      <c r="EU120" s="353"/>
      <c r="EV120" s="353"/>
      <c r="EW120" s="483">
        <f t="shared" si="361"/>
        <v>0</v>
      </c>
      <c r="EX120" s="350"/>
      <c r="EY120" s="362"/>
      <c r="EZ120" s="350"/>
      <c r="FA120" s="350" t="s">
        <v>819</v>
      </c>
      <c r="FB120" s="126">
        <f t="shared" ca="1" si="385"/>
        <v>44680</v>
      </c>
      <c r="FC120" s="80"/>
      <c r="FD120" s="80"/>
      <c r="FE120" s="80"/>
      <c r="FF120" s="80"/>
      <c r="FG120" s="80"/>
      <c r="FH120" s="31"/>
      <c r="FI120" s="194">
        <f t="shared" si="351"/>
        <v>45371</v>
      </c>
      <c r="FJ120" s="194"/>
      <c r="FK120" s="31"/>
      <c r="FL120" s="31"/>
      <c r="FM120" s="31"/>
      <c r="FN120" s="31"/>
      <c r="FO120" s="31"/>
      <c r="FP120" s="31"/>
      <c r="FQ120" s="31"/>
      <c r="FR120" s="31"/>
      <c r="FS120" s="31"/>
      <c r="FT120" s="31"/>
      <c r="FU120" s="31"/>
      <c r="FV120" s="31"/>
      <c r="FW120" s="31"/>
      <c r="FX120" s="529"/>
      <c r="FY120" s="652">
        <f t="shared" si="344"/>
        <v>16409046.4</v>
      </c>
      <c r="FZ120" s="550">
        <f t="shared" si="365"/>
        <v>16409046.4</v>
      </c>
      <c r="GA120" s="45">
        <f t="shared" ref="GA120:GA151" si="412">FZ120</f>
        <v>16409046.4</v>
      </c>
      <c r="GB120" s="602">
        <f t="shared" si="390"/>
        <v>0</v>
      </c>
      <c r="GC120" s="28">
        <f t="shared" si="345"/>
        <v>2180.3202240771302</v>
      </c>
      <c r="GD120" s="28">
        <f t="shared" si="353"/>
        <v>176441.35913978494</v>
      </c>
      <c r="GE120" s="45">
        <v>5801913</v>
      </c>
      <c r="GF120" s="417"/>
      <c r="GG120" s="28">
        <f t="shared" ref="GG120:GG137" si="413">GE120/AD120</f>
        <v>62386.161290322583</v>
      </c>
      <c r="GH120" s="45">
        <f t="shared" si="362"/>
        <v>8532704.4000000004</v>
      </c>
      <c r="GI120" s="59">
        <v>1432491.4</v>
      </c>
      <c r="GJ120" s="59">
        <v>7100213</v>
      </c>
      <c r="GK120" s="407">
        <f t="shared" si="354"/>
        <v>91749.509677419352</v>
      </c>
      <c r="GL120" s="45">
        <v>2074429</v>
      </c>
      <c r="GM120" s="45"/>
      <c r="GN120" s="45"/>
      <c r="GO120" s="23">
        <f t="shared" si="346"/>
        <v>0</v>
      </c>
      <c r="GP120" s="45"/>
      <c r="GQ120" s="45"/>
      <c r="GR120" s="45"/>
      <c r="GS120" s="28">
        <f t="shared" si="404"/>
        <v>0</v>
      </c>
      <c r="GT120" s="28">
        <f t="shared" si="405"/>
        <v>62386.161290322583</v>
      </c>
      <c r="GU120" s="682"/>
      <c r="GV120" s="682"/>
      <c r="GW120" s="682">
        <f t="shared" si="378"/>
        <v>62386.161290322583</v>
      </c>
      <c r="GX120" s="682"/>
      <c r="GY120" s="682">
        <f t="shared" si="406"/>
        <v>62386.161290322583</v>
      </c>
      <c r="GZ120" s="681">
        <f t="shared" si="324"/>
        <v>0.35358014466946719</v>
      </c>
      <c r="HA120" s="682"/>
      <c r="HB120" s="682"/>
      <c r="HC120" s="45"/>
      <c r="HD120" s="602"/>
      <c r="HE120" s="608">
        <f t="shared" si="407"/>
        <v>0</v>
      </c>
      <c r="HF120" s="602">
        <f t="shared" si="391"/>
        <v>16409046.4</v>
      </c>
      <c r="HG120" s="602">
        <f ca="1">IF(EE120&lt;DATEDIF(TODAY(),$HG$1,"M"),HF120,(HF120/EE120*DATEDIF(TODAY(),$HG$1,"M")))*0</f>
        <v>0</v>
      </c>
      <c r="HH120" s="608">
        <f t="shared" ca="1" si="392"/>
        <v>0</v>
      </c>
      <c r="HI120" s="602"/>
      <c r="HJ120" s="602">
        <f t="shared" si="349"/>
        <v>0</v>
      </c>
      <c r="HK120" s="602" t="e">
        <f t="shared" si="348"/>
        <v>#DIV/0!</v>
      </c>
      <c r="HL120" s="602"/>
      <c r="HM120" s="673"/>
      <c r="HN120" s="62"/>
      <c r="HO120" s="673"/>
      <c r="HP120" s="673">
        <f t="shared" si="386"/>
        <v>0</v>
      </c>
      <c r="HQ120" s="539"/>
      <c r="HR120" s="539"/>
      <c r="HS120" s="539"/>
      <c r="HT120" s="539"/>
      <c r="HU120" s="539"/>
      <c r="HV120" s="673"/>
      <c r="HW120" s="673">
        <f t="shared" si="393"/>
        <v>0</v>
      </c>
      <c r="HX120" s="539"/>
    </row>
    <row r="121" spans="1:232" ht="15" customHeight="1">
      <c r="A121" s="495" t="s">
        <v>918</v>
      </c>
      <c r="B121" s="31" t="s">
        <v>21</v>
      </c>
      <c r="C121" s="31" t="s">
        <v>90</v>
      </c>
      <c r="D121" s="31">
        <v>2021</v>
      </c>
      <c r="E121" s="31" t="s">
        <v>883</v>
      </c>
      <c r="F121" s="74"/>
      <c r="G121" s="74"/>
      <c r="H121" s="33" t="s">
        <v>287</v>
      </c>
      <c r="I121" s="31"/>
      <c r="J121" s="31" t="s">
        <v>672</v>
      </c>
      <c r="K121" s="180"/>
      <c r="L121" s="114"/>
      <c r="M121" s="115"/>
      <c r="N121" s="116"/>
      <c r="O121" s="142">
        <v>33407</v>
      </c>
      <c r="P121" s="142"/>
      <c r="Q121" s="142"/>
      <c r="R121" s="142">
        <f t="shared" si="355"/>
        <v>0</v>
      </c>
      <c r="S121" s="142">
        <f t="shared" si="356"/>
        <v>0</v>
      </c>
      <c r="T121" s="148">
        <f t="shared" si="357"/>
        <v>0</v>
      </c>
      <c r="U121" s="148">
        <f t="shared" ref="U121:U126" si="414">Q121/AK121</f>
        <v>0</v>
      </c>
      <c r="V121" s="148">
        <f t="shared" si="359"/>
        <v>0</v>
      </c>
      <c r="W121" s="142">
        <f t="shared" si="360"/>
        <v>513.95384615384614</v>
      </c>
      <c r="X121" s="143"/>
      <c r="Y121" s="525">
        <f t="shared" si="394"/>
        <v>19.457000029933845</v>
      </c>
      <c r="Z121" s="143"/>
      <c r="AA121" s="143"/>
      <c r="AB121" s="144"/>
      <c r="AC121" s="31" t="s">
        <v>9</v>
      </c>
      <c r="AD121" s="493">
        <f t="shared" si="338"/>
        <v>65</v>
      </c>
      <c r="AE121" s="494">
        <f t="shared" si="395"/>
        <v>65</v>
      </c>
      <c r="AF121" s="31">
        <v>65</v>
      </c>
      <c r="AG121" s="42"/>
      <c r="AH121" s="42"/>
      <c r="AI121" s="42"/>
      <c r="AJ121" s="797">
        <v>5076.42</v>
      </c>
      <c r="AK121" s="276">
        <v>5900.6</v>
      </c>
      <c r="AL121" s="586">
        <f t="shared" si="339"/>
        <v>78.098769230769236</v>
      </c>
      <c r="AM121" s="35">
        <f t="shared" si="340"/>
        <v>90.778461538461542</v>
      </c>
      <c r="AN121" s="35"/>
      <c r="AO121" s="35"/>
      <c r="AP121" s="35"/>
      <c r="AQ121" s="53"/>
      <c r="AR121" s="53"/>
      <c r="AS121" s="53"/>
      <c r="AT121" s="53"/>
      <c r="AU121" s="53"/>
      <c r="AV121" s="35"/>
      <c r="AW121" s="51"/>
      <c r="AX121" s="53"/>
      <c r="AY121" s="35"/>
      <c r="AZ121" s="31"/>
      <c r="BA121" s="31"/>
      <c r="BB121" s="160">
        <v>12005233.51</v>
      </c>
      <c r="BC121" s="504">
        <f t="shared" si="408"/>
        <v>2364.9015467593304</v>
      </c>
      <c r="BD121" s="388">
        <f t="shared" si="387"/>
        <v>2034.578434396502</v>
      </c>
      <c r="BE121" s="392">
        <f t="shared" si="409"/>
        <v>184695.90015384616</v>
      </c>
      <c r="BF121" s="165"/>
      <c r="BG121" s="165"/>
      <c r="BH121" s="126"/>
      <c r="BI121" s="126"/>
      <c r="BJ121" s="660"/>
      <c r="BK121" s="660"/>
      <c r="BL121" s="661"/>
      <c r="BM121" s="659">
        <f t="shared" si="341"/>
        <v>0</v>
      </c>
      <c r="BN121" s="578" t="s">
        <v>235</v>
      </c>
      <c r="BO121" s="110"/>
      <c r="BP121" s="139"/>
      <c r="BQ121" s="654">
        <f t="shared" si="325"/>
        <v>0</v>
      </c>
      <c r="BR121" s="638"/>
      <c r="BS121" s="110"/>
      <c r="BT121" s="110"/>
      <c r="BU121" s="202"/>
      <c r="BV121" s="201">
        <f>DATE(YEAR(BU121),MONTH(BU121)+24,DAY(BU121))</f>
        <v>731</v>
      </c>
      <c r="BW121" s="439"/>
      <c r="BX121" s="201" t="str">
        <f>IF(EL121&gt;BV121,"oui","non")</f>
        <v>oui</v>
      </c>
      <c r="BY121" s="557">
        <f>(BV121-EL121)/30</f>
        <v>-1486.4</v>
      </c>
      <c r="BZ121" s="439">
        <f>IF((BY121*EO121)&lt;0,"0",BY121*EO121)</f>
        <v>0</v>
      </c>
      <c r="CA121" s="439">
        <f>BW121-BZ121</f>
        <v>0</v>
      </c>
      <c r="CB121" s="339"/>
      <c r="CC121" s="341"/>
      <c r="CD121" s="341"/>
      <c r="CE121" s="343" t="str">
        <f t="shared" si="380"/>
        <v>0</v>
      </c>
      <c r="CF121" s="341"/>
      <c r="CG121" s="341"/>
      <c r="CH121" s="343" t="str">
        <f t="shared" si="381"/>
        <v>0</v>
      </c>
      <c r="CI121" s="341"/>
      <c r="CJ121" s="341"/>
      <c r="CK121" s="343" t="str">
        <f t="shared" si="382"/>
        <v>0</v>
      </c>
      <c r="CL121" s="341"/>
      <c r="CM121" s="341"/>
      <c r="CN121" s="343" t="str">
        <f t="shared" si="383"/>
        <v>0</v>
      </c>
      <c r="CO121" s="341"/>
      <c r="CP121" s="341"/>
      <c r="CQ121" s="343" t="str">
        <f t="shared" si="342"/>
        <v>0</v>
      </c>
      <c r="CR121" s="290"/>
      <c r="CS121" s="345"/>
      <c r="CT121" s="330"/>
      <c r="CU121" s="331"/>
      <c r="CV121" s="332" t="str">
        <f t="shared" si="337"/>
        <v>0</v>
      </c>
      <c r="CW121" s="498"/>
      <c r="CX121" s="449">
        <v>44743</v>
      </c>
      <c r="CY121" s="233"/>
      <c r="CZ121" s="284">
        <f t="shared" si="327"/>
        <v>1491.4333333333334</v>
      </c>
      <c r="DA121" s="332" t="str">
        <f t="shared" si="397"/>
        <v>0</v>
      </c>
      <c r="DB121" s="450">
        <v>18</v>
      </c>
      <c r="DC121" s="169">
        <f t="shared" si="398"/>
        <v>18</v>
      </c>
      <c r="DD121" s="330"/>
      <c r="DE121" s="335">
        <f t="shared" ca="1" si="366"/>
        <v>43950</v>
      </c>
      <c r="DF121" s="332" t="str">
        <f t="shared" ca="1" si="411"/>
        <v>0</v>
      </c>
      <c r="DG121" s="330"/>
      <c r="DH121" s="348">
        <f t="shared" ca="1" si="367"/>
        <v>43950</v>
      </c>
      <c r="DI121" s="333" t="str">
        <f t="shared" ca="1" si="399"/>
        <v>0</v>
      </c>
      <c r="DJ121" s="334"/>
      <c r="DK121" s="348">
        <f t="shared" ca="1" si="368"/>
        <v>43950</v>
      </c>
      <c r="DL121" s="332" t="str">
        <f t="shared" ca="1" si="347"/>
        <v>0</v>
      </c>
      <c r="DM121" s="335">
        <v>43534</v>
      </c>
      <c r="DN121" s="335">
        <f t="shared" ca="1" si="369"/>
        <v>43950</v>
      </c>
      <c r="DO121" s="332">
        <f t="shared" ca="1" si="400"/>
        <v>416</v>
      </c>
      <c r="DP121" s="336"/>
      <c r="DQ121" s="336"/>
      <c r="DR121" s="332" t="str">
        <f t="shared" si="401"/>
        <v>0</v>
      </c>
      <c r="DS121" s="335"/>
      <c r="DT121" s="335">
        <f t="shared" ca="1" si="370"/>
        <v>43950</v>
      </c>
      <c r="DU121" s="332" t="str">
        <f t="shared" ca="1" si="402"/>
        <v>0</v>
      </c>
      <c r="DV121" s="335">
        <v>43611</v>
      </c>
      <c r="DW121" s="335">
        <f t="shared" ca="1" si="371"/>
        <v>43950</v>
      </c>
      <c r="DX121" s="332">
        <f t="shared" ca="1" si="403"/>
        <v>339</v>
      </c>
      <c r="DY121" s="336"/>
      <c r="DZ121" s="336"/>
      <c r="EA121" s="336"/>
      <c r="EB121" s="477">
        <f t="shared" si="350"/>
        <v>45292</v>
      </c>
      <c r="EC121" s="476">
        <f t="shared" si="410"/>
        <v>45292</v>
      </c>
      <c r="ED121" s="473">
        <f t="shared" si="343"/>
        <v>0</v>
      </c>
      <c r="EE121" s="605">
        <f t="shared" ca="1" si="372"/>
        <v>44.733333333333334</v>
      </c>
      <c r="EF121" s="476">
        <f t="shared" ca="1" si="373"/>
        <v>44680</v>
      </c>
      <c r="EG121" s="535"/>
      <c r="EH121" s="526"/>
      <c r="EI121" s="536">
        <f t="shared" si="388"/>
        <v>45415</v>
      </c>
      <c r="EJ121" s="295"/>
      <c r="EK121" s="534">
        <f t="shared" si="384"/>
        <v>45323</v>
      </c>
      <c r="EL121" s="476">
        <f t="shared" si="375"/>
        <v>45323</v>
      </c>
      <c r="EM121" s="368"/>
      <c r="EN121" s="471">
        <f t="shared" si="389"/>
        <v>0</v>
      </c>
      <c r="EO121" s="461"/>
      <c r="EP121" s="173">
        <f t="shared" si="352"/>
        <v>0</v>
      </c>
      <c r="EQ121" s="77"/>
      <c r="ER121" s="353"/>
      <c r="ES121" s="353"/>
      <c r="ET121" s="353"/>
      <c r="EU121" s="353"/>
      <c r="EV121" s="353"/>
      <c r="EW121" s="483">
        <f t="shared" si="361"/>
        <v>0</v>
      </c>
      <c r="EX121" s="350"/>
      <c r="EY121" s="362"/>
      <c r="EZ121" s="350"/>
      <c r="FA121" s="350"/>
      <c r="FB121" s="126">
        <f t="shared" ca="1" si="385"/>
        <v>44680</v>
      </c>
      <c r="FC121" s="80"/>
      <c r="FD121" s="80"/>
      <c r="FE121" s="80"/>
      <c r="FF121" s="80"/>
      <c r="FG121" s="80"/>
      <c r="FH121" s="31"/>
      <c r="FI121" s="194">
        <f t="shared" si="351"/>
        <v>45658</v>
      </c>
      <c r="FJ121" s="194"/>
      <c r="FK121" s="31"/>
      <c r="FL121" s="31"/>
      <c r="FM121" s="31"/>
      <c r="FN121" s="31"/>
      <c r="FO121" s="31"/>
      <c r="FP121" s="31"/>
      <c r="FQ121" s="31"/>
      <c r="FR121" s="31"/>
      <c r="FS121" s="31"/>
      <c r="FT121" s="31"/>
      <c r="FU121" s="31"/>
      <c r="FV121" s="31"/>
      <c r="FW121" s="31"/>
      <c r="FX121" s="529"/>
      <c r="FY121" s="652">
        <f t="shared" si="344"/>
        <v>12530536</v>
      </c>
      <c r="FZ121" s="550">
        <f t="shared" si="365"/>
        <v>12530536</v>
      </c>
      <c r="GA121" s="45">
        <f t="shared" si="412"/>
        <v>12530536</v>
      </c>
      <c r="GB121" s="602">
        <f t="shared" si="390"/>
        <v>975000</v>
      </c>
      <c r="GC121" s="28">
        <f t="shared" si="345"/>
        <v>2123.60370131851</v>
      </c>
      <c r="GD121" s="28">
        <f t="shared" si="353"/>
        <v>192777.47692307693</v>
      </c>
      <c r="GE121" s="45">
        <v>4133852</v>
      </c>
      <c r="GF121" s="417"/>
      <c r="GG121" s="28">
        <f t="shared" si="413"/>
        <v>63597.723076923074</v>
      </c>
      <c r="GH121" s="45">
        <f t="shared" si="362"/>
        <v>7421684</v>
      </c>
      <c r="GI121" s="59">
        <v>1328883</v>
      </c>
      <c r="GJ121" s="59">
        <v>6092801</v>
      </c>
      <c r="GK121" s="407">
        <f t="shared" si="354"/>
        <v>114179.75384615385</v>
      </c>
      <c r="GL121" s="45"/>
      <c r="GM121" s="45">
        <v>975000</v>
      </c>
      <c r="GN121" s="45"/>
      <c r="GO121" s="23">
        <f t="shared" si="346"/>
        <v>7.7809919703355074E-2</v>
      </c>
      <c r="GP121" s="45"/>
      <c r="GQ121" s="45"/>
      <c r="GR121" s="45"/>
      <c r="GS121" s="28">
        <f t="shared" si="404"/>
        <v>15000</v>
      </c>
      <c r="GT121" s="28">
        <f t="shared" si="405"/>
        <v>78597.723076923081</v>
      </c>
      <c r="GU121" s="682"/>
      <c r="GV121" s="682"/>
      <c r="GW121" s="682" t="e">
        <f>(#REF!+#REF!+GV121)/AD121</f>
        <v>#REF!</v>
      </c>
      <c r="GX121" s="682"/>
      <c r="GY121" s="682">
        <f t="shared" si="406"/>
        <v>78597.723076923081</v>
      </c>
      <c r="GZ121" s="681">
        <f t="shared" si="324"/>
        <v>0.40771216809879479</v>
      </c>
      <c r="HA121" s="682"/>
      <c r="HB121" s="682"/>
      <c r="HC121" s="45"/>
      <c r="HD121" s="602"/>
      <c r="HE121" s="608">
        <f t="shared" si="407"/>
        <v>0</v>
      </c>
      <c r="HF121" s="602">
        <f t="shared" si="391"/>
        <v>12530536</v>
      </c>
      <c r="HG121" s="602">
        <f ca="1">IF(EE121&lt;DATEDIF(TODAY(),$HG$1,"M"),HF121,(HF121/EE121*DATEDIF(TODAY(),$HG$1,"M")))</f>
        <v>2240930.43219076</v>
      </c>
      <c r="HH121" s="608">
        <f t="shared" ca="1" si="392"/>
        <v>0.17883755588673622</v>
      </c>
      <c r="HI121" s="602"/>
      <c r="HJ121" s="602">
        <f t="shared" si="349"/>
        <v>975000</v>
      </c>
      <c r="HK121" s="602">
        <f t="shared" si="348"/>
        <v>0</v>
      </c>
      <c r="HL121" s="602"/>
      <c r="HM121" s="673"/>
      <c r="HN121" s="62"/>
      <c r="HO121" s="673"/>
      <c r="HP121" s="673">
        <f t="shared" si="386"/>
        <v>0</v>
      </c>
      <c r="HQ121" s="539"/>
      <c r="HR121" s="539"/>
      <c r="HS121" s="539"/>
      <c r="HT121" s="539"/>
      <c r="HU121" s="539"/>
      <c r="HV121" s="673"/>
      <c r="HW121" s="673">
        <f t="shared" si="393"/>
        <v>0</v>
      </c>
      <c r="HX121" s="539"/>
    </row>
    <row r="122" spans="1:232" ht="15" customHeight="1">
      <c r="A122" s="495" t="s">
        <v>919</v>
      </c>
      <c r="B122" s="31" t="s">
        <v>21</v>
      </c>
      <c r="C122" s="31" t="s">
        <v>90</v>
      </c>
      <c r="D122" s="31">
        <v>2021</v>
      </c>
      <c r="E122" s="31" t="s">
        <v>883</v>
      </c>
      <c r="F122" s="74"/>
      <c r="G122" s="74"/>
      <c r="H122" s="33" t="s">
        <v>287</v>
      </c>
      <c r="I122" s="31"/>
      <c r="J122" s="31" t="s">
        <v>672</v>
      </c>
      <c r="K122" s="180"/>
      <c r="L122" s="114"/>
      <c r="M122" s="115"/>
      <c r="N122" s="116"/>
      <c r="O122" s="142">
        <v>33407</v>
      </c>
      <c r="P122" s="142"/>
      <c r="Q122" s="142"/>
      <c r="R122" s="142">
        <f t="shared" si="355"/>
        <v>0</v>
      </c>
      <c r="S122" s="142">
        <f t="shared" si="356"/>
        <v>0</v>
      </c>
      <c r="T122" s="148">
        <f t="shared" si="357"/>
        <v>0</v>
      </c>
      <c r="U122" s="148">
        <f t="shared" si="414"/>
        <v>0</v>
      </c>
      <c r="V122" s="148">
        <f t="shared" si="359"/>
        <v>0</v>
      </c>
      <c r="W122" s="142">
        <f t="shared" si="360"/>
        <v>470.52112676056339</v>
      </c>
      <c r="X122" s="143"/>
      <c r="Y122" s="525">
        <f t="shared" si="394"/>
        <v>21.253030801927739</v>
      </c>
      <c r="Z122" s="143"/>
      <c r="AA122" s="143"/>
      <c r="AB122" s="144"/>
      <c r="AC122" s="31" t="s">
        <v>10</v>
      </c>
      <c r="AD122" s="493">
        <f t="shared" si="338"/>
        <v>71</v>
      </c>
      <c r="AE122" s="493">
        <f t="shared" si="395"/>
        <v>71</v>
      </c>
      <c r="AF122" s="42"/>
      <c r="AG122" s="31">
        <v>71</v>
      </c>
      <c r="AH122" s="42"/>
      <c r="AI122" s="42"/>
      <c r="AJ122" s="797">
        <v>3275.65</v>
      </c>
      <c r="AK122" s="276">
        <v>3704.78</v>
      </c>
      <c r="AL122" s="586">
        <f t="shared" si="339"/>
        <v>46.13591549295775</v>
      </c>
      <c r="AM122" s="35">
        <f t="shared" si="340"/>
        <v>52.18</v>
      </c>
      <c r="AN122" s="35"/>
      <c r="AO122" s="35"/>
      <c r="AP122" s="35"/>
      <c r="AQ122" s="53"/>
      <c r="AR122" s="53"/>
      <c r="AS122" s="53"/>
      <c r="AT122" s="53"/>
      <c r="AU122" s="53"/>
      <c r="AV122" s="35"/>
      <c r="AW122" s="51"/>
      <c r="AX122" s="53"/>
      <c r="AY122" s="35"/>
      <c r="AZ122" s="31"/>
      <c r="BA122" s="31"/>
      <c r="BB122" s="160">
        <v>7544213.4900000002</v>
      </c>
      <c r="BC122" s="504">
        <f t="shared" si="408"/>
        <v>2303.1195304748676</v>
      </c>
      <c r="BD122" s="388">
        <f t="shared" si="387"/>
        <v>2036.3458801872175</v>
      </c>
      <c r="BE122" s="392">
        <f t="shared" si="409"/>
        <v>106256.52802816902</v>
      </c>
      <c r="BF122" s="165"/>
      <c r="BG122" s="165"/>
      <c r="BH122" s="126"/>
      <c r="BI122" s="126"/>
      <c r="BJ122" s="660"/>
      <c r="BK122" s="660"/>
      <c r="BL122" s="661"/>
      <c r="BM122" s="659">
        <f t="shared" si="341"/>
        <v>0</v>
      </c>
      <c r="BN122" s="578" t="s">
        <v>235</v>
      </c>
      <c r="BO122" s="110"/>
      <c r="BP122" s="139"/>
      <c r="BQ122" s="654">
        <f t="shared" si="325"/>
        <v>0</v>
      </c>
      <c r="BR122" s="638"/>
      <c r="BS122" s="110"/>
      <c r="BT122" s="110"/>
      <c r="BU122" s="202"/>
      <c r="BV122" s="201">
        <f>DATE(YEAR(BU122),MONTH(BU122)+24,DAY(BU122))</f>
        <v>731</v>
      </c>
      <c r="BW122" s="439"/>
      <c r="BX122" s="201" t="str">
        <f>IF(EL122&gt;BV122,"oui","non")</f>
        <v>oui</v>
      </c>
      <c r="BY122" s="557">
        <f>(BV122-EL122)/30</f>
        <v>-1486.4</v>
      </c>
      <c r="BZ122" s="439">
        <f>IF((BY122*EO122)&lt;0,"0",BY122*EO122)</f>
        <v>0</v>
      </c>
      <c r="CA122" s="439">
        <f>BW122-BZ122</f>
        <v>0</v>
      </c>
      <c r="CB122" s="339"/>
      <c r="CC122" s="341"/>
      <c r="CD122" s="341"/>
      <c r="CE122" s="343" t="str">
        <f t="shared" si="380"/>
        <v>0</v>
      </c>
      <c r="CF122" s="341"/>
      <c r="CG122" s="341"/>
      <c r="CH122" s="343" t="str">
        <f t="shared" si="381"/>
        <v>0</v>
      </c>
      <c r="CI122" s="341"/>
      <c r="CJ122" s="341"/>
      <c r="CK122" s="343" t="str">
        <f t="shared" si="382"/>
        <v>0</v>
      </c>
      <c r="CL122" s="341"/>
      <c r="CM122" s="341"/>
      <c r="CN122" s="343" t="str">
        <f t="shared" si="383"/>
        <v>0</v>
      </c>
      <c r="CO122" s="341"/>
      <c r="CP122" s="341"/>
      <c r="CQ122" s="343" t="str">
        <f t="shared" si="342"/>
        <v>0</v>
      </c>
      <c r="CR122" s="290"/>
      <c r="CS122" s="345"/>
      <c r="CT122" s="330"/>
      <c r="CU122" s="331"/>
      <c r="CV122" s="332" t="str">
        <f t="shared" si="337"/>
        <v>0</v>
      </c>
      <c r="CW122" s="498"/>
      <c r="CX122" s="449">
        <v>44743</v>
      </c>
      <c r="CY122" s="233"/>
      <c r="CZ122" s="284">
        <f t="shared" ref="CZ122:CZ152" si="415">(DATEDIF(BK122,CX122,"d"))/30</f>
        <v>1491.4333333333334</v>
      </c>
      <c r="DA122" s="332" t="str">
        <f t="shared" si="397"/>
        <v>0</v>
      </c>
      <c r="DB122" s="450">
        <v>18</v>
      </c>
      <c r="DC122" s="169">
        <f t="shared" si="398"/>
        <v>18</v>
      </c>
      <c r="DD122" s="330"/>
      <c r="DE122" s="335">
        <f t="shared" ca="1" si="366"/>
        <v>43950</v>
      </c>
      <c r="DF122" s="332" t="str">
        <f t="shared" ca="1" si="411"/>
        <v>0</v>
      </c>
      <c r="DG122" s="330"/>
      <c r="DH122" s="348">
        <f t="shared" ca="1" si="367"/>
        <v>43950</v>
      </c>
      <c r="DI122" s="333" t="str">
        <f t="shared" ca="1" si="399"/>
        <v>0</v>
      </c>
      <c r="DJ122" s="334"/>
      <c r="DK122" s="348">
        <f t="shared" ca="1" si="368"/>
        <v>43950</v>
      </c>
      <c r="DL122" s="332" t="str">
        <f t="shared" ca="1" si="347"/>
        <v>0</v>
      </c>
      <c r="DM122" s="335">
        <v>43534</v>
      </c>
      <c r="DN122" s="335">
        <f t="shared" ca="1" si="369"/>
        <v>43950</v>
      </c>
      <c r="DO122" s="332">
        <f t="shared" ca="1" si="400"/>
        <v>416</v>
      </c>
      <c r="DP122" s="336"/>
      <c r="DQ122" s="336"/>
      <c r="DR122" s="332" t="str">
        <f t="shared" si="401"/>
        <v>0</v>
      </c>
      <c r="DS122" s="335"/>
      <c r="DT122" s="335">
        <f t="shared" ca="1" si="370"/>
        <v>43950</v>
      </c>
      <c r="DU122" s="332" t="str">
        <f t="shared" ca="1" si="402"/>
        <v>0</v>
      </c>
      <c r="DV122" s="335">
        <v>43611</v>
      </c>
      <c r="DW122" s="335">
        <f t="shared" ca="1" si="371"/>
        <v>43950</v>
      </c>
      <c r="DX122" s="332">
        <f t="shared" ca="1" si="403"/>
        <v>339</v>
      </c>
      <c r="DY122" s="336"/>
      <c r="DZ122" s="336"/>
      <c r="EA122" s="336"/>
      <c r="EB122" s="477">
        <f t="shared" si="350"/>
        <v>45292</v>
      </c>
      <c r="EC122" s="476">
        <f t="shared" si="410"/>
        <v>45292</v>
      </c>
      <c r="ED122" s="473">
        <f t="shared" si="343"/>
        <v>0</v>
      </c>
      <c r="EE122" s="605">
        <f t="shared" ca="1" si="372"/>
        <v>44.733333333333334</v>
      </c>
      <c r="EF122" s="476">
        <f t="shared" ca="1" si="373"/>
        <v>44680</v>
      </c>
      <c r="EG122" s="535"/>
      <c r="EH122" s="526"/>
      <c r="EI122" s="536">
        <f t="shared" si="388"/>
        <v>45415</v>
      </c>
      <c r="EJ122" s="295"/>
      <c r="EK122" s="534">
        <f t="shared" si="384"/>
        <v>45323</v>
      </c>
      <c r="EL122" s="476">
        <f t="shared" si="375"/>
        <v>45323</v>
      </c>
      <c r="EM122" s="368"/>
      <c r="EN122" s="471">
        <f t="shared" si="389"/>
        <v>0</v>
      </c>
      <c r="EO122" s="461"/>
      <c r="EP122" s="173">
        <f t="shared" si="352"/>
        <v>0</v>
      </c>
      <c r="EQ122" s="77"/>
      <c r="ER122" s="353"/>
      <c r="ES122" s="353"/>
      <c r="ET122" s="353"/>
      <c r="EU122" s="353"/>
      <c r="EV122" s="353"/>
      <c r="EW122" s="483">
        <f t="shared" si="361"/>
        <v>0</v>
      </c>
      <c r="EX122" s="350"/>
      <c r="EY122" s="362"/>
      <c r="EZ122" s="350"/>
      <c r="FA122" s="350"/>
      <c r="FB122" s="126">
        <f t="shared" ca="1" si="385"/>
        <v>44680</v>
      </c>
      <c r="FC122" s="80"/>
      <c r="FD122" s="80"/>
      <c r="FE122" s="80"/>
      <c r="FF122" s="80"/>
      <c r="FG122" s="80"/>
      <c r="FH122" s="31"/>
      <c r="FI122" s="194">
        <f t="shared" si="351"/>
        <v>45658</v>
      </c>
      <c r="FJ122" s="194"/>
      <c r="FK122" s="31"/>
      <c r="FL122" s="31"/>
      <c r="FM122" s="31"/>
      <c r="FN122" s="31"/>
      <c r="FO122" s="31"/>
      <c r="FP122" s="31"/>
      <c r="FQ122" s="31"/>
      <c r="FR122" s="31"/>
      <c r="FS122" s="31"/>
      <c r="FT122" s="31"/>
      <c r="FU122" s="31"/>
      <c r="FV122" s="31"/>
      <c r="FW122" s="31"/>
      <c r="FX122" s="529"/>
      <c r="FY122" s="652">
        <f t="shared" si="344"/>
        <v>7893783</v>
      </c>
      <c r="FZ122" s="550">
        <f t="shared" si="365"/>
        <v>7893783</v>
      </c>
      <c r="GA122" s="45">
        <f t="shared" si="412"/>
        <v>7893783</v>
      </c>
      <c r="GB122" s="602">
        <f t="shared" si="390"/>
        <v>1847200</v>
      </c>
      <c r="GC122" s="28">
        <f t="shared" si="345"/>
        <v>2130.7022279325629</v>
      </c>
      <c r="GD122" s="28">
        <f t="shared" si="353"/>
        <v>111180.04225352113</v>
      </c>
      <c r="GE122" s="45">
        <v>2182175</v>
      </c>
      <c r="GF122" s="417"/>
      <c r="GG122" s="28">
        <f t="shared" si="413"/>
        <v>30734.859154929578</v>
      </c>
      <c r="GH122" s="45">
        <f t="shared" si="362"/>
        <v>3864408</v>
      </c>
      <c r="GI122" s="59">
        <v>818268</v>
      </c>
      <c r="GJ122" s="59">
        <v>3046140</v>
      </c>
      <c r="GK122" s="407">
        <f t="shared" si="354"/>
        <v>54428.281690140844</v>
      </c>
      <c r="GL122" s="45"/>
      <c r="GM122" s="45">
        <v>1847200</v>
      </c>
      <c r="GN122" s="45"/>
      <c r="GO122" s="23">
        <f t="shared" si="346"/>
        <v>0.23400693938508318</v>
      </c>
      <c r="GP122" s="45"/>
      <c r="GQ122" s="45"/>
      <c r="GR122" s="45"/>
      <c r="GS122" s="28">
        <f t="shared" si="404"/>
        <v>26016.901408450703</v>
      </c>
      <c r="GT122" s="28">
        <f t="shared" si="405"/>
        <v>56751.760563380281</v>
      </c>
      <c r="GU122" s="682"/>
      <c r="GV122" s="682"/>
      <c r="GW122" s="682" t="e">
        <f>(#REF!+#REF!+GV122)/AD122</f>
        <v>#REF!</v>
      </c>
      <c r="GX122" s="682"/>
      <c r="GY122" s="682">
        <f t="shared" si="406"/>
        <v>56751.760563380281</v>
      </c>
      <c r="GZ122" s="681">
        <f t="shared" si="324"/>
        <v>0.51044917246901766</v>
      </c>
      <c r="HA122" s="682"/>
      <c r="HB122" s="682"/>
      <c r="HC122" s="45"/>
      <c r="HD122" s="602"/>
      <c r="HE122" s="608">
        <f t="shared" si="407"/>
        <v>0</v>
      </c>
      <c r="HF122" s="602">
        <f t="shared" si="391"/>
        <v>7893783</v>
      </c>
      <c r="HG122" s="602">
        <f ca="1">IF(EE122&lt;DATEDIF(TODAY(),$HG$1,"M"),HF122,(HF122/EE122*DATEDIF(TODAY(),$HG$1,"M")))</f>
        <v>1411704.8584202682</v>
      </c>
      <c r="HH122" s="608">
        <f t="shared" ca="1" si="392"/>
        <v>0.17883755588673619</v>
      </c>
      <c r="HI122" s="602"/>
      <c r="HJ122" s="602">
        <f t="shared" si="349"/>
        <v>1847200</v>
      </c>
      <c r="HK122" s="602">
        <f t="shared" si="348"/>
        <v>0</v>
      </c>
      <c r="HL122" s="602"/>
      <c r="HM122" s="673"/>
      <c r="HN122" s="62"/>
      <c r="HO122" s="673"/>
      <c r="HP122" s="673">
        <f t="shared" si="386"/>
        <v>0</v>
      </c>
      <c r="HQ122" s="539"/>
      <c r="HR122" s="539"/>
      <c r="HS122" s="539"/>
      <c r="HT122" s="539"/>
      <c r="HU122" s="539"/>
      <c r="HV122" s="673"/>
      <c r="HW122" s="673">
        <f t="shared" si="393"/>
        <v>0</v>
      </c>
      <c r="HX122" s="539"/>
    </row>
    <row r="123" spans="1:232" ht="15" customHeight="1">
      <c r="A123" s="495" t="s">
        <v>920</v>
      </c>
      <c r="B123" s="31" t="s">
        <v>21</v>
      </c>
      <c r="C123" s="31" t="s">
        <v>90</v>
      </c>
      <c r="D123" s="31">
        <v>2021</v>
      </c>
      <c r="E123" s="31" t="s">
        <v>883</v>
      </c>
      <c r="F123" s="74"/>
      <c r="G123" s="74"/>
      <c r="H123" s="33" t="s">
        <v>287</v>
      </c>
      <c r="I123" s="31"/>
      <c r="J123" s="31" t="s">
        <v>672</v>
      </c>
      <c r="K123" s="180"/>
      <c r="L123" s="114"/>
      <c r="M123" s="115"/>
      <c r="N123" s="116"/>
      <c r="O123" s="142">
        <v>33407</v>
      </c>
      <c r="P123" s="142"/>
      <c r="Q123" s="142"/>
      <c r="R123" s="142">
        <f t="shared" si="355"/>
        <v>0</v>
      </c>
      <c r="S123" s="142">
        <f t="shared" si="356"/>
        <v>0</v>
      </c>
      <c r="T123" s="148">
        <f t="shared" si="357"/>
        <v>0</v>
      </c>
      <c r="U123" s="148">
        <f t="shared" si="414"/>
        <v>0</v>
      </c>
      <c r="V123" s="148">
        <f t="shared" si="359"/>
        <v>0</v>
      </c>
      <c r="W123" s="142">
        <f t="shared" si="360"/>
        <v>477.24285714285713</v>
      </c>
      <c r="X123" s="143"/>
      <c r="Y123" s="525">
        <f t="shared" si="394"/>
        <v>20.953692339928757</v>
      </c>
      <c r="Z123" s="143"/>
      <c r="AA123" s="143"/>
      <c r="AB123" s="144"/>
      <c r="AC123" s="31" t="s">
        <v>301</v>
      </c>
      <c r="AD123" s="493">
        <f t="shared" si="338"/>
        <v>70</v>
      </c>
      <c r="AE123" s="493">
        <f t="shared" si="395"/>
        <v>70</v>
      </c>
      <c r="AF123" s="42"/>
      <c r="AG123" s="42"/>
      <c r="AH123" s="31">
        <v>70</v>
      </c>
      <c r="AI123" s="42"/>
      <c r="AJ123" s="797">
        <v>5235.24</v>
      </c>
      <c r="AK123" s="276">
        <v>6088.24</v>
      </c>
      <c r="AL123" s="586">
        <f t="shared" si="339"/>
        <v>74.789142857142849</v>
      </c>
      <c r="AM123" s="8">
        <f t="shared" si="340"/>
        <v>86.974857142857147</v>
      </c>
      <c r="AN123" s="35"/>
      <c r="AO123" s="35"/>
      <c r="AP123" s="35"/>
      <c r="AQ123" s="53"/>
      <c r="AR123" s="53"/>
      <c r="AS123" s="53"/>
      <c r="AT123" s="53"/>
      <c r="AU123" s="53"/>
      <c r="AV123" s="35"/>
      <c r="AW123" s="51"/>
      <c r="AX123" s="53"/>
      <c r="AY123" s="35"/>
      <c r="AZ123" s="31"/>
      <c r="BA123" s="31"/>
      <c r="BB123" s="160">
        <v>13238405.42</v>
      </c>
      <c r="BC123" s="504">
        <f t="shared" si="408"/>
        <v>2528.7103208257886</v>
      </c>
      <c r="BD123" s="388">
        <f t="shared" si="387"/>
        <v>2174.4223979343783</v>
      </c>
      <c r="BE123" s="392">
        <f t="shared" si="409"/>
        <v>189120.07742857141</v>
      </c>
      <c r="BF123" s="165"/>
      <c r="BG123" s="165"/>
      <c r="BH123" s="126"/>
      <c r="BI123" s="126"/>
      <c r="BJ123" s="660"/>
      <c r="BK123" s="660"/>
      <c r="BL123" s="661"/>
      <c r="BM123" s="659">
        <f t="shared" si="341"/>
        <v>0</v>
      </c>
      <c r="BN123" s="578" t="s">
        <v>235</v>
      </c>
      <c r="BO123" s="110"/>
      <c r="BP123" s="139"/>
      <c r="BQ123" s="654">
        <f t="shared" si="325"/>
        <v>0</v>
      </c>
      <c r="BR123" s="638"/>
      <c r="BS123" s="110"/>
      <c r="BT123" s="110"/>
      <c r="BU123" s="202"/>
      <c r="BV123" s="201">
        <f>DATE(YEAR(BU123),MONTH(BU123)+24,DAY(BU123))</f>
        <v>731</v>
      </c>
      <c r="BW123" s="439"/>
      <c r="BX123" s="201" t="str">
        <f>IF(EL123&gt;BV123,"oui","non")</f>
        <v>oui</v>
      </c>
      <c r="BY123" s="557">
        <f>(BV123-EL123)/30</f>
        <v>-1486.4</v>
      </c>
      <c r="BZ123" s="439">
        <f>IF((BY123*EO123)&lt;0,"0",BY123*EO123)</f>
        <v>0</v>
      </c>
      <c r="CA123" s="439">
        <f>BW123-BZ123</f>
        <v>0</v>
      </c>
      <c r="CB123" s="339"/>
      <c r="CC123" s="341"/>
      <c r="CD123" s="341"/>
      <c r="CE123" s="343" t="str">
        <f t="shared" si="380"/>
        <v>0</v>
      </c>
      <c r="CF123" s="341"/>
      <c r="CG123" s="341"/>
      <c r="CH123" s="343" t="str">
        <f t="shared" si="381"/>
        <v>0</v>
      </c>
      <c r="CI123" s="341"/>
      <c r="CJ123" s="341"/>
      <c r="CK123" s="343" t="str">
        <f t="shared" si="382"/>
        <v>0</v>
      </c>
      <c r="CL123" s="341"/>
      <c r="CM123" s="341"/>
      <c r="CN123" s="343" t="str">
        <f t="shared" si="383"/>
        <v>0</v>
      </c>
      <c r="CO123" s="341"/>
      <c r="CP123" s="341"/>
      <c r="CQ123" s="343" t="str">
        <f t="shared" si="342"/>
        <v>0</v>
      </c>
      <c r="CR123" s="290"/>
      <c r="CS123" s="345"/>
      <c r="CT123" s="330"/>
      <c r="CU123" s="331"/>
      <c r="CV123" s="332" t="str">
        <f t="shared" si="337"/>
        <v>0</v>
      </c>
      <c r="CW123" s="498"/>
      <c r="CX123" s="449">
        <v>44743</v>
      </c>
      <c r="CY123" s="233"/>
      <c r="CZ123" s="284">
        <f t="shared" si="415"/>
        <v>1491.4333333333334</v>
      </c>
      <c r="DA123" s="332" t="str">
        <f t="shared" si="397"/>
        <v>0</v>
      </c>
      <c r="DB123" s="450">
        <v>18</v>
      </c>
      <c r="DC123" s="169">
        <f t="shared" si="398"/>
        <v>18</v>
      </c>
      <c r="DD123" s="330"/>
      <c r="DE123" s="335">
        <f t="shared" ca="1" si="366"/>
        <v>43950</v>
      </c>
      <c r="DF123" s="332" t="str">
        <f t="shared" ca="1" si="411"/>
        <v>0</v>
      </c>
      <c r="DG123" s="330"/>
      <c r="DH123" s="348">
        <f t="shared" ca="1" si="367"/>
        <v>43950</v>
      </c>
      <c r="DI123" s="333" t="str">
        <f t="shared" ca="1" si="399"/>
        <v>0</v>
      </c>
      <c r="DJ123" s="334"/>
      <c r="DK123" s="348">
        <f t="shared" ca="1" si="368"/>
        <v>43950</v>
      </c>
      <c r="DL123" s="332" t="str">
        <f t="shared" ca="1" si="347"/>
        <v>0</v>
      </c>
      <c r="DM123" s="335">
        <v>43534</v>
      </c>
      <c r="DN123" s="335">
        <f t="shared" ca="1" si="369"/>
        <v>43950</v>
      </c>
      <c r="DO123" s="332">
        <f t="shared" ca="1" si="400"/>
        <v>416</v>
      </c>
      <c r="DP123" s="336"/>
      <c r="DQ123" s="336"/>
      <c r="DR123" s="332" t="str">
        <f t="shared" si="401"/>
        <v>0</v>
      </c>
      <c r="DS123" s="335"/>
      <c r="DT123" s="335">
        <f t="shared" ca="1" si="370"/>
        <v>43950</v>
      </c>
      <c r="DU123" s="332" t="str">
        <f t="shared" ca="1" si="402"/>
        <v>0</v>
      </c>
      <c r="DV123" s="335">
        <v>43611</v>
      </c>
      <c r="DW123" s="335">
        <f t="shared" ca="1" si="371"/>
        <v>43950</v>
      </c>
      <c r="DX123" s="332">
        <f t="shared" ca="1" si="403"/>
        <v>339</v>
      </c>
      <c r="DY123" s="336"/>
      <c r="DZ123" s="336"/>
      <c r="EA123" s="336"/>
      <c r="EB123" s="477">
        <f t="shared" si="350"/>
        <v>45292</v>
      </c>
      <c r="EC123" s="476">
        <f t="shared" si="410"/>
        <v>45292</v>
      </c>
      <c r="ED123" s="473">
        <f t="shared" si="343"/>
        <v>0</v>
      </c>
      <c r="EE123" s="605">
        <f t="shared" ca="1" si="372"/>
        <v>44.733333333333334</v>
      </c>
      <c r="EF123" s="476">
        <f t="shared" ca="1" si="373"/>
        <v>44680</v>
      </c>
      <c r="EG123" s="535"/>
      <c r="EH123" s="526"/>
      <c r="EI123" s="536">
        <f t="shared" si="388"/>
        <v>45415</v>
      </c>
      <c r="EJ123" s="295"/>
      <c r="EK123" s="534">
        <f t="shared" si="384"/>
        <v>45323</v>
      </c>
      <c r="EL123" s="476">
        <f t="shared" si="375"/>
        <v>45323</v>
      </c>
      <c r="EM123" s="368"/>
      <c r="EN123" s="471">
        <f t="shared" si="389"/>
        <v>0</v>
      </c>
      <c r="EO123" s="461"/>
      <c r="EP123" s="173">
        <f t="shared" si="352"/>
        <v>0</v>
      </c>
      <c r="EQ123" s="77"/>
      <c r="ER123" s="353"/>
      <c r="ES123" s="353"/>
      <c r="ET123" s="353"/>
      <c r="EU123" s="353"/>
      <c r="EV123" s="353"/>
      <c r="EW123" s="483">
        <f t="shared" si="361"/>
        <v>0</v>
      </c>
      <c r="EX123" s="350"/>
      <c r="EY123" s="362"/>
      <c r="EZ123" s="350"/>
      <c r="FA123" s="350"/>
      <c r="FB123" s="126">
        <f t="shared" ca="1" si="385"/>
        <v>44680</v>
      </c>
      <c r="FC123" s="80"/>
      <c r="FD123" s="80"/>
      <c r="FE123" s="80"/>
      <c r="FF123" s="80"/>
      <c r="FG123" s="80"/>
      <c r="FH123" s="31"/>
      <c r="FI123" s="194">
        <f t="shared" si="351"/>
        <v>45658</v>
      </c>
      <c r="FJ123" s="194"/>
      <c r="FK123" s="31"/>
      <c r="FL123" s="31"/>
      <c r="FM123" s="31"/>
      <c r="FN123" s="31"/>
      <c r="FO123" s="31"/>
      <c r="FP123" s="31"/>
      <c r="FQ123" s="31"/>
      <c r="FR123" s="31"/>
      <c r="FS123" s="31"/>
      <c r="FT123" s="31"/>
      <c r="FU123" s="31"/>
      <c r="FV123" s="31"/>
      <c r="FW123" s="31"/>
      <c r="FX123" s="529"/>
      <c r="FY123" s="652">
        <f t="shared" si="344"/>
        <v>13817428.800000001</v>
      </c>
      <c r="FZ123" s="550">
        <f t="shared" si="365"/>
        <v>13817428.800000001</v>
      </c>
      <c r="GA123" s="45">
        <f t="shared" si="412"/>
        <v>13817428.800000001</v>
      </c>
      <c r="GB123" s="602">
        <f t="shared" si="390"/>
        <v>0</v>
      </c>
      <c r="GC123" s="28">
        <f t="shared" si="345"/>
        <v>2269.5276138916997</v>
      </c>
      <c r="GD123" s="28">
        <f t="shared" si="353"/>
        <v>197391.84</v>
      </c>
      <c r="GE123" s="45">
        <v>4921943.9800000004</v>
      </c>
      <c r="GF123" s="417"/>
      <c r="GG123" s="28">
        <f t="shared" si="413"/>
        <v>70313.485428571439</v>
      </c>
      <c r="GH123" s="45">
        <f t="shared" si="362"/>
        <v>7185063</v>
      </c>
      <c r="GI123" s="59">
        <v>1497278</v>
      </c>
      <c r="GJ123" s="59">
        <v>5687785</v>
      </c>
      <c r="GK123" s="407">
        <f t="shared" si="354"/>
        <v>102643.75714285714</v>
      </c>
      <c r="GL123" s="45">
        <v>1710421.82</v>
      </c>
      <c r="GM123" s="45">
        <v>0</v>
      </c>
      <c r="GN123" s="45"/>
      <c r="GO123" s="23">
        <f t="shared" si="346"/>
        <v>0</v>
      </c>
      <c r="GP123" s="45"/>
      <c r="GQ123" s="45"/>
      <c r="GR123" s="45"/>
      <c r="GS123" s="28">
        <f t="shared" si="404"/>
        <v>0</v>
      </c>
      <c r="GT123" s="28">
        <f t="shared" si="405"/>
        <v>70313.485428571439</v>
      </c>
      <c r="GU123" s="682"/>
      <c r="GV123" s="682"/>
      <c r="GW123" s="680" t="e">
        <f>(#REF!+#REF!+GV123)/AD123</f>
        <v>#REF!</v>
      </c>
      <c r="GX123" s="682"/>
      <c r="GY123" s="682">
        <f t="shared" si="406"/>
        <v>70313.485428571439</v>
      </c>
      <c r="GZ123" s="681">
        <f t="shared" si="324"/>
        <v>0.35621272606087179</v>
      </c>
      <c r="HA123" s="682"/>
      <c r="HB123" s="682"/>
      <c r="HC123" s="45"/>
      <c r="HD123" s="602"/>
      <c r="HE123" s="608">
        <f t="shared" si="407"/>
        <v>0</v>
      </c>
      <c r="HF123" s="602">
        <f t="shared" si="391"/>
        <v>13817428.800000001</v>
      </c>
      <c r="HG123" s="602">
        <f ca="1">IF(EE123&lt;DATEDIF(TODAY(),$HG$1,"M"),HF123,(HF123/EE123*DATEDIF(TODAY(),$HG$1,"M")))</f>
        <v>2471075.1952309986</v>
      </c>
      <c r="HH123" s="608">
        <f t="shared" ca="1" si="392"/>
        <v>0.17883755588673622</v>
      </c>
      <c r="HI123" s="602"/>
      <c r="HJ123" s="602">
        <f t="shared" si="349"/>
        <v>0</v>
      </c>
      <c r="HK123" s="602" t="e">
        <f t="shared" si="348"/>
        <v>#DIV/0!</v>
      </c>
      <c r="HL123" s="602"/>
      <c r="HM123" s="673"/>
      <c r="HN123" s="62"/>
      <c r="HO123" s="673"/>
      <c r="HP123" s="673">
        <f t="shared" si="386"/>
        <v>0</v>
      </c>
      <c r="HQ123" s="539"/>
      <c r="HR123" s="539"/>
      <c r="HS123" s="539"/>
      <c r="HT123" s="539"/>
      <c r="HU123" s="539"/>
      <c r="HV123" s="673"/>
      <c r="HW123" s="673">
        <f t="shared" si="393"/>
        <v>0</v>
      </c>
      <c r="HX123" s="539"/>
    </row>
    <row r="124" spans="1:232" ht="15" customHeight="1">
      <c r="A124" s="58" t="s">
        <v>921</v>
      </c>
      <c r="B124" s="31" t="s">
        <v>21</v>
      </c>
      <c r="C124" s="31" t="s">
        <v>90</v>
      </c>
      <c r="D124" s="31">
        <v>2021</v>
      </c>
      <c r="E124" s="31" t="s">
        <v>880</v>
      </c>
      <c r="F124" s="31" t="s">
        <v>709</v>
      </c>
      <c r="G124" s="31"/>
      <c r="H124" s="31"/>
      <c r="I124" s="31"/>
      <c r="J124" s="74"/>
      <c r="K124" s="180"/>
      <c r="L124" s="114"/>
      <c r="M124" s="115"/>
      <c r="N124" s="116"/>
      <c r="O124" s="142"/>
      <c r="P124" s="142"/>
      <c r="Q124" s="142"/>
      <c r="R124" s="142">
        <f t="shared" si="355"/>
        <v>0</v>
      </c>
      <c r="S124" s="142" t="e">
        <f t="shared" si="356"/>
        <v>#DIV/0!</v>
      </c>
      <c r="T124" s="148" t="e">
        <f t="shared" si="357"/>
        <v>#DIV/0!</v>
      </c>
      <c r="U124" s="148">
        <f t="shared" si="414"/>
        <v>0</v>
      </c>
      <c r="V124" s="148">
        <f t="shared" si="359"/>
        <v>0</v>
      </c>
      <c r="W124" s="142">
        <f t="shared" si="360"/>
        <v>0</v>
      </c>
      <c r="X124" s="143"/>
      <c r="Y124" s="525" t="e">
        <f t="shared" si="394"/>
        <v>#DIV/0!</v>
      </c>
      <c r="Z124" s="143"/>
      <c r="AA124" s="143"/>
      <c r="AB124" s="144">
        <v>0.1</v>
      </c>
      <c r="AC124" s="31" t="s">
        <v>9</v>
      </c>
      <c r="AD124" s="493">
        <f t="shared" si="338"/>
        <v>31</v>
      </c>
      <c r="AE124" s="493">
        <f t="shared" si="395"/>
        <v>31</v>
      </c>
      <c r="AF124" s="31">
        <v>31</v>
      </c>
      <c r="AG124" s="42"/>
      <c r="AH124" s="42"/>
      <c r="AI124" s="428"/>
      <c r="AJ124" s="796">
        <v>2253.29</v>
      </c>
      <c r="AK124" s="276">
        <v>2728.47</v>
      </c>
      <c r="AL124" s="586">
        <f t="shared" si="339"/>
        <v>72.686774193548388</v>
      </c>
      <c r="AM124" s="8">
        <f t="shared" si="340"/>
        <v>88.015161290322581</v>
      </c>
      <c r="AN124" s="35"/>
      <c r="AO124" s="35"/>
      <c r="AP124" s="35"/>
      <c r="AQ124" s="53"/>
      <c r="AR124" s="53"/>
      <c r="AS124" s="53"/>
      <c r="AT124" s="53"/>
      <c r="AU124" s="53"/>
      <c r="AV124" s="35"/>
      <c r="AW124" s="51"/>
      <c r="AX124" s="53"/>
      <c r="AY124" s="35"/>
      <c r="AZ124" s="31"/>
      <c r="BA124" s="31"/>
      <c r="BB124" s="160">
        <v>5261432.1499999994</v>
      </c>
      <c r="BC124" s="504">
        <f t="shared" si="408"/>
        <v>2335</v>
      </c>
      <c r="BD124" s="388">
        <f t="shared" si="387"/>
        <v>1928.3452447708789</v>
      </c>
      <c r="BE124" s="392">
        <f t="shared" si="409"/>
        <v>169723.61774193548</v>
      </c>
      <c r="BF124" s="165"/>
      <c r="BG124" s="165"/>
      <c r="BH124" s="73"/>
      <c r="BI124" s="73"/>
      <c r="BJ124" s="660"/>
      <c r="BK124" s="660"/>
      <c r="BL124" s="661"/>
      <c r="BM124" s="659"/>
      <c r="BN124" s="578" t="s">
        <v>235</v>
      </c>
      <c r="BO124" s="110"/>
      <c r="BP124" s="139"/>
      <c r="BQ124" s="654"/>
      <c r="BR124" s="638"/>
      <c r="BS124" s="110"/>
      <c r="BT124" s="110"/>
      <c r="BU124" s="202"/>
      <c r="BV124" s="201"/>
      <c r="BW124" s="439"/>
      <c r="BX124" s="201"/>
      <c r="BY124" s="557"/>
      <c r="BZ124" s="439"/>
      <c r="CA124" s="439"/>
      <c r="CB124" s="214"/>
      <c r="CC124" s="81"/>
      <c r="CD124" s="81"/>
      <c r="CE124" s="326"/>
      <c r="CF124" s="81"/>
      <c r="CG124" s="81"/>
      <c r="CH124" s="326"/>
      <c r="CI124" s="341"/>
      <c r="CJ124" s="341"/>
      <c r="CK124" s="343"/>
      <c r="CL124" s="341"/>
      <c r="CM124" s="341"/>
      <c r="CN124" s="343"/>
      <c r="CO124" s="341"/>
      <c r="CP124" s="341"/>
      <c r="CQ124" s="343"/>
      <c r="CR124" s="290"/>
      <c r="CS124" s="339"/>
      <c r="CT124" s="330"/>
      <c r="CU124" s="335"/>
      <c r="CV124" s="332" t="str">
        <f t="shared" si="337"/>
        <v>0</v>
      </c>
      <c r="CW124" s="330"/>
      <c r="CX124" s="449">
        <v>44744</v>
      </c>
      <c r="CY124" s="233"/>
      <c r="CZ124" s="284">
        <f t="shared" si="415"/>
        <v>1491.4666666666667</v>
      </c>
      <c r="DA124" s="332" t="str">
        <f t="shared" si="397"/>
        <v>0</v>
      </c>
      <c r="DB124" s="450">
        <v>19</v>
      </c>
      <c r="DC124" s="169">
        <f t="shared" si="398"/>
        <v>19</v>
      </c>
      <c r="DD124" s="330"/>
      <c r="DE124" s="335">
        <f t="shared" ca="1" si="366"/>
        <v>43950</v>
      </c>
      <c r="DF124" s="332" t="str">
        <f t="shared" ca="1" si="411"/>
        <v>0</v>
      </c>
      <c r="DG124" s="330"/>
      <c r="DH124" s="348">
        <f t="shared" ca="1" si="367"/>
        <v>43950</v>
      </c>
      <c r="DI124" s="333" t="str">
        <f t="shared" ca="1" si="399"/>
        <v>0</v>
      </c>
      <c r="DJ124" s="334"/>
      <c r="DK124" s="348">
        <f t="shared" ca="1" si="368"/>
        <v>43950</v>
      </c>
      <c r="DL124" s="332" t="str">
        <f t="shared" ca="1" si="347"/>
        <v>0</v>
      </c>
      <c r="DM124" s="335">
        <v>43535</v>
      </c>
      <c r="DN124" s="335">
        <f t="shared" ca="1" si="369"/>
        <v>43950</v>
      </c>
      <c r="DO124" s="332">
        <f t="shared" ca="1" si="400"/>
        <v>415</v>
      </c>
      <c r="DP124" s="336"/>
      <c r="DQ124" s="336"/>
      <c r="DR124" s="332" t="str">
        <f t="shared" si="401"/>
        <v>0</v>
      </c>
      <c r="DS124" s="335"/>
      <c r="DT124" s="335">
        <f t="shared" ca="1" si="370"/>
        <v>43950</v>
      </c>
      <c r="DU124" s="332" t="str">
        <f t="shared" ca="1" si="402"/>
        <v>0</v>
      </c>
      <c r="DV124" s="335">
        <v>43612</v>
      </c>
      <c r="DW124" s="335">
        <f t="shared" ca="1" si="371"/>
        <v>43950</v>
      </c>
      <c r="DX124" s="332">
        <f t="shared" ca="1" si="403"/>
        <v>338</v>
      </c>
      <c r="DY124" s="336"/>
      <c r="DZ124" s="336"/>
      <c r="EA124" s="336"/>
      <c r="EB124" s="477">
        <f t="shared" si="350"/>
        <v>45324</v>
      </c>
      <c r="EC124" s="476">
        <f t="shared" si="410"/>
        <v>45324</v>
      </c>
      <c r="ED124" s="473">
        <f t="shared" si="343"/>
        <v>0</v>
      </c>
      <c r="EE124" s="605">
        <f t="shared" ca="1" si="372"/>
        <v>45.8</v>
      </c>
      <c r="EF124" s="476">
        <f t="shared" ca="1" si="373"/>
        <v>44680</v>
      </c>
      <c r="EG124" s="535"/>
      <c r="EH124" s="526"/>
      <c r="EI124" s="536">
        <f t="shared" si="388"/>
        <v>45447</v>
      </c>
      <c r="EJ124" s="295"/>
      <c r="EK124" s="534">
        <f t="shared" si="384"/>
        <v>45353</v>
      </c>
      <c r="EL124" s="476">
        <f t="shared" si="375"/>
        <v>45353</v>
      </c>
      <c r="EM124" s="368"/>
      <c r="EN124" s="471">
        <f t="shared" si="389"/>
        <v>0</v>
      </c>
      <c r="EO124" s="461"/>
      <c r="EP124" s="173">
        <f t="shared" si="352"/>
        <v>0</v>
      </c>
      <c r="EQ124" s="77"/>
      <c r="ER124" s="353"/>
      <c r="ES124" s="353"/>
      <c r="ET124" s="353"/>
      <c r="EU124" s="353"/>
      <c r="EV124" s="353"/>
      <c r="EW124" s="483">
        <f t="shared" si="361"/>
        <v>0</v>
      </c>
      <c r="EX124" s="350"/>
      <c r="EY124" s="362"/>
      <c r="EZ124" s="350"/>
      <c r="FA124" s="350"/>
      <c r="FB124" s="126">
        <f t="shared" ca="1" si="385"/>
        <v>44680</v>
      </c>
      <c r="FC124" s="80"/>
      <c r="FD124" s="80"/>
      <c r="FE124" s="80"/>
      <c r="FF124" s="80"/>
      <c r="FG124" s="80"/>
      <c r="FH124" s="31"/>
      <c r="FI124" s="194">
        <f t="shared" si="351"/>
        <v>45690</v>
      </c>
      <c r="FJ124" s="194"/>
      <c r="FK124" s="31"/>
      <c r="FL124" s="31"/>
      <c r="FM124" s="31"/>
      <c r="FN124" s="31"/>
      <c r="FO124" s="31"/>
      <c r="FP124" s="31"/>
      <c r="FQ124" s="31"/>
      <c r="FR124" s="31"/>
      <c r="FS124" s="31"/>
      <c r="FT124" s="31"/>
      <c r="FU124" s="31"/>
      <c r="FV124" s="31"/>
      <c r="FW124" s="31"/>
      <c r="FX124" s="529"/>
      <c r="FY124" s="652">
        <f t="shared" si="344"/>
        <v>5496019</v>
      </c>
      <c r="FZ124" s="550">
        <f t="shared" si="365"/>
        <v>5496019</v>
      </c>
      <c r="GA124" s="45">
        <f t="shared" si="412"/>
        <v>5496019</v>
      </c>
      <c r="GB124" s="602">
        <f t="shared" si="390"/>
        <v>620000</v>
      </c>
      <c r="GC124" s="28">
        <f t="shared" si="345"/>
        <v>2014.3226790105812</v>
      </c>
      <c r="GD124" s="28">
        <f t="shared" si="353"/>
        <v>177290.93548387097</v>
      </c>
      <c r="GE124" s="45">
        <v>1735047</v>
      </c>
      <c r="GF124" s="417"/>
      <c r="GG124" s="28">
        <f t="shared" si="413"/>
        <v>55969.258064516129</v>
      </c>
      <c r="GH124" s="45">
        <f t="shared" si="362"/>
        <v>3140972</v>
      </c>
      <c r="GI124" s="59">
        <v>549145</v>
      </c>
      <c r="GJ124" s="59">
        <v>2591827</v>
      </c>
      <c r="GK124" s="408">
        <f t="shared" si="354"/>
        <v>101321.67741935483</v>
      </c>
      <c r="GL124" s="45"/>
      <c r="GM124" s="45">
        <v>620000</v>
      </c>
      <c r="GN124" s="45"/>
      <c r="GO124" s="23">
        <f t="shared" si="346"/>
        <v>0.11280892587889525</v>
      </c>
      <c r="GP124" s="45"/>
      <c r="GQ124" s="45"/>
      <c r="GR124" s="45"/>
      <c r="GS124" s="28"/>
      <c r="GT124" s="28"/>
      <c r="GU124" s="682"/>
      <c r="GV124" s="682"/>
      <c r="GW124" s="682"/>
      <c r="GX124" s="682"/>
      <c r="GY124" s="682"/>
      <c r="GZ124" s="681"/>
      <c r="HA124" s="682"/>
      <c r="HB124" s="682"/>
      <c r="HC124" s="45"/>
      <c r="HD124" s="602"/>
      <c r="HE124" s="608"/>
      <c r="HF124" s="602"/>
      <c r="HG124" s="602"/>
      <c r="HH124" s="608"/>
      <c r="HI124" s="602"/>
      <c r="HJ124" s="602"/>
      <c r="HK124" s="602"/>
      <c r="HL124" s="602"/>
      <c r="HM124" s="673"/>
      <c r="HN124" s="62"/>
      <c r="HO124" s="673"/>
      <c r="HP124" s="673">
        <f t="shared" si="386"/>
        <v>0</v>
      </c>
      <c r="HQ124" s="539"/>
      <c r="HR124" s="539"/>
      <c r="HS124" s="539"/>
      <c r="HT124" s="539"/>
      <c r="HU124" s="539"/>
      <c r="HV124" s="673"/>
      <c r="HW124" s="673">
        <f t="shared" si="393"/>
        <v>0</v>
      </c>
      <c r="HX124" s="539"/>
    </row>
    <row r="125" spans="1:232" ht="15" customHeight="1">
      <c r="A125" s="58" t="s">
        <v>922</v>
      </c>
      <c r="B125" s="31" t="s">
        <v>21</v>
      </c>
      <c r="C125" s="31" t="s">
        <v>90</v>
      </c>
      <c r="D125" s="31">
        <v>2021</v>
      </c>
      <c r="E125" s="31" t="s">
        <v>880</v>
      </c>
      <c r="F125" s="74"/>
      <c r="G125" s="31"/>
      <c r="H125" s="31"/>
      <c r="I125" s="31"/>
      <c r="J125" s="74"/>
      <c r="K125" s="180"/>
      <c r="L125" s="114"/>
      <c r="M125" s="115"/>
      <c r="N125" s="116"/>
      <c r="O125" s="142"/>
      <c r="P125" s="142"/>
      <c r="Q125" s="142"/>
      <c r="R125" s="142">
        <f t="shared" si="355"/>
        <v>0</v>
      </c>
      <c r="S125" s="142" t="e">
        <f t="shared" si="356"/>
        <v>#DIV/0!</v>
      </c>
      <c r="T125" s="148" t="e">
        <f t="shared" si="357"/>
        <v>#DIV/0!</v>
      </c>
      <c r="U125" s="148">
        <f t="shared" si="414"/>
        <v>0</v>
      </c>
      <c r="V125" s="148">
        <f t="shared" si="359"/>
        <v>0</v>
      </c>
      <c r="W125" s="142">
        <f t="shared" si="360"/>
        <v>0</v>
      </c>
      <c r="X125" s="143"/>
      <c r="Y125" s="525" t="e">
        <f t="shared" si="394"/>
        <v>#DIV/0!</v>
      </c>
      <c r="Z125" s="143"/>
      <c r="AA125" s="143"/>
      <c r="AB125" s="144">
        <v>0.1</v>
      </c>
      <c r="AC125" s="31" t="s">
        <v>10</v>
      </c>
      <c r="AD125" s="493">
        <f t="shared" si="338"/>
        <v>18</v>
      </c>
      <c r="AE125" s="493">
        <f t="shared" si="395"/>
        <v>18</v>
      </c>
      <c r="AF125" s="42"/>
      <c r="AG125" s="31">
        <v>18</v>
      </c>
      <c r="AH125" s="42"/>
      <c r="AI125" s="428"/>
      <c r="AJ125" s="796">
        <v>1013.32</v>
      </c>
      <c r="AK125" s="276">
        <v>1186.42</v>
      </c>
      <c r="AL125" s="586">
        <f t="shared" si="339"/>
        <v>56.295555555555559</v>
      </c>
      <c r="AM125" s="8">
        <f t="shared" si="340"/>
        <v>65.912222222222226</v>
      </c>
      <c r="AN125" s="35"/>
      <c r="AO125" s="35"/>
      <c r="AP125" s="35"/>
      <c r="AQ125" s="53"/>
      <c r="AR125" s="53"/>
      <c r="AS125" s="53"/>
      <c r="AT125" s="53"/>
      <c r="AU125" s="53"/>
      <c r="AV125" s="35"/>
      <c r="AW125" s="51"/>
      <c r="AX125" s="53"/>
      <c r="AY125" s="35"/>
      <c r="AZ125" s="31"/>
      <c r="BA125" s="31"/>
      <c r="BB125" s="160">
        <v>2229304</v>
      </c>
      <c r="BC125" s="504">
        <f t="shared" si="408"/>
        <v>2200</v>
      </c>
      <c r="BD125" s="388">
        <f t="shared" si="387"/>
        <v>1879.0175485915611</v>
      </c>
      <c r="BE125" s="392">
        <f t="shared" si="409"/>
        <v>123850.22222222222</v>
      </c>
      <c r="BF125" s="165"/>
      <c r="BG125" s="165"/>
      <c r="BH125" s="73"/>
      <c r="BI125" s="73"/>
      <c r="BJ125" s="660"/>
      <c r="BK125" s="660"/>
      <c r="BL125" s="661"/>
      <c r="BM125" s="659"/>
      <c r="BN125" s="578" t="s">
        <v>235</v>
      </c>
      <c r="BO125" s="110"/>
      <c r="BP125" s="139"/>
      <c r="BQ125" s="654"/>
      <c r="BR125" s="638"/>
      <c r="BS125" s="110"/>
      <c r="BT125" s="110"/>
      <c r="BU125" s="202"/>
      <c r="BV125" s="201"/>
      <c r="BW125" s="439"/>
      <c r="BX125" s="201"/>
      <c r="BY125" s="557"/>
      <c r="BZ125" s="439"/>
      <c r="CA125" s="439"/>
      <c r="CB125" s="214"/>
      <c r="CC125" s="81"/>
      <c r="CD125" s="81"/>
      <c r="CE125" s="326"/>
      <c r="CF125" s="81"/>
      <c r="CG125" s="81"/>
      <c r="CH125" s="326"/>
      <c r="CI125" s="341"/>
      <c r="CJ125" s="341"/>
      <c r="CK125" s="343"/>
      <c r="CL125" s="341"/>
      <c r="CM125" s="341"/>
      <c r="CN125" s="343"/>
      <c r="CO125" s="341"/>
      <c r="CP125" s="341"/>
      <c r="CQ125" s="343"/>
      <c r="CR125" s="290"/>
      <c r="CS125" s="339"/>
      <c r="CT125" s="330"/>
      <c r="CU125" s="335"/>
      <c r="CV125" s="332" t="str">
        <f t="shared" si="337"/>
        <v>0</v>
      </c>
      <c r="CW125" s="330"/>
      <c r="CX125" s="449">
        <v>44744</v>
      </c>
      <c r="CY125" s="233"/>
      <c r="CZ125" s="284">
        <f t="shared" si="415"/>
        <v>1491.4666666666667</v>
      </c>
      <c r="DA125" s="332" t="str">
        <f t="shared" si="397"/>
        <v>0</v>
      </c>
      <c r="DB125" s="450">
        <v>19</v>
      </c>
      <c r="DC125" s="169">
        <f t="shared" si="398"/>
        <v>19</v>
      </c>
      <c r="DD125" s="330"/>
      <c r="DE125" s="335">
        <f t="shared" ca="1" si="366"/>
        <v>43950</v>
      </c>
      <c r="DF125" s="332" t="str">
        <f t="shared" ca="1" si="411"/>
        <v>0</v>
      </c>
      <c r="DG125" s="330"/>
      <c r="DH125" s="348">
        <f t="shared" ca="1" si="367"/>
        <v>43950</v>
      </c>
      <c r="DI125" s="333" t="str">
        <f t="shared" ca="1" si="399"/>
        <v>0</v>
      </c>
      <c r="DJ125" s="334"/>
      <c r="DK125" s="348">
        <f t="shared" ca="1" si="368"/>
        <v>43950</v>
      </c>
      <c r="DL125" s="332" t="str">
        <f t="shared" ca="1" si="347"/>
        <v>0</v>
      </c>
      <c r="DM125" s="335">
        <v>43535</v>
      </c>
      <c r="DN125" s="335">
        <f t="shared" ca="1" si="369"/>
        <v>43950</v>
      </c>
      <c r="DO125" s="332">
        <f t="shared" ca="1" si="400"/>
        <v>415</v>
      </c>
      <c r="DP125" s="336"/>
      <c r="DQ125" s="336"/>
      <c r="DR125" s="332" t="str">
        <f t="shared" si="401"/>
        <v>0</v>
      </c>
      <c r="DS125" s="335"/>
      <c r="DT125" s="335">
        <f t="shared" ca="1" si="370"/>
        <v>43950</v>
      </c>
      <c r="DU125" s="332" t="str">
        <f t="shared" ca="1" si="402"/>
        <v>0</v>
      </c>
      <c r="DV125" s="335">
        <v>43612</v>
      </c>
      <c r="DW125" s="335">
        <f t="shared" ca="1" si="371"/>
        <v>43950</v>
      </c>
      <c r="DX125" s="332">
        <f t="shared" ca="1" si="403"/>
        <v>338</v>
      </c>
      <c r="DY125" s="336"/>
      <c r="DZ125" s="336"/>
      <c r="EA125" s="336"/>
      <c r="EB125" s="477">
        <f t="shared" si="350"/>
        <v>45324</v>
      </c>
      <c r="EC125" s="476">
        <f t="shared" si="410"/>
        <v>45324</v>
      </c>
      <c r="ED125" s="473">
        <f t="shared" si="343"/>
        <v>0</v>
      </c>
      <c r="EE125" s="605">
        <f t="shared" ca="1" si="372"/>
        <v>45.8</v>
      </c>
      <c r="EF125" s="476">
        <f t="shared" ca="1" si="373"/>
        <v>44680</v>
      </c>
      <c r="EG125" s="535"/>
      <c r="EH125" s="526"/>
      <c r="EI125" s="536">
        <f t="shared" si="388"/>
        <v>45447</v>
      </c>
      <c r="EJ125" s="295"/>
      <c r="EK125" s="534">
        <f t="shared" si="384"/>
        <v>45353</v>
      </c>
      <c r="EL125" s="476">
        <f t="shared" si="375"/>
        <v>45353</v>
      </c>
      <c r="EM125" s="368"/>
      <c r="EN125" s="471">
        <f t="shared" si="389"/>
        <v>0</v>
      </c>
      <c r="EO125" s="461"/>
      <c r="EP125" s="173">
        <f t="shared" si="352"/>
        <v>0</v>
      </c>
      <c r="EQ125" s="77"/>
      <c r="ER125" s="353"/>
      <c r="ES125" s="353"/>
      <c r="ET125" s="353"/>
      <c r="EU125" s="353"/>
      <c r="EV125" s="353"/>
      <c r="EW125" s="483">
        <f t="shared" si="361"/>
        <v>0</v>
      </c>
      <c r="EX125" s="350"/>
      <c r="EY125" s="362"/>
      <c r="EZ125" s="350"/>
      <c r="FA125" s="350"/>
      <c r="FB125" s="126">
        <f t="shared" ca="1" si="385"/>
        <v>44680</v>
      </c>
      <c r="FC125" s="80"/>
      <c r="FD125" s="80"/>
      <c r="FE125" s="80"/>
      <c r="FF125" s="80"/>
      <c r="FG125" s="80"/>
      <c r="FH125" s="31"/>
      <c r="FI125" s="194">
        <f t="shared" si="351"/>
        <v>45690</v>
      </c>
      <c r="FJ125" s="194"/>
      <c r="FK125" s="31"/>
      <c r="FL125" s="31"/>
      <c r="FM125" s="31"/>
      <c r="FN125" s="31"/>
      <c r="FO125" s="31"/>
      <c r="FP125" s="31"/>
      <c r="FQ125" s="31"/>
      <c r="FR125" s="31"/>
      <c r="FS125" s="31"/>
      <c r="FT125" s="31"/>
      <c r="FU125" s="31"/>
      <c r="FV125" s="31"/>
      <c r="FW125" s="31"/>
      <c r="FX125" s="529"/>
      <c r="FY125" s="652">
        <f t="shared" si="344"/>
        <v>2332416.52</v>
      </c>
      <c r="FZ125" s="550">
        <f t="shared" si="365"/>
        <v>2332416.52</v>
      </c>
      <c r="GA125" s="45">
        <f t="shared" si="412"/>
        <v>2332416.52</v>
      </c>
      <c r="GB125" s="602">
        <f t="shared" si="390"/>
        <v>450000</v>
      </c>
      <c r="GC125" s="28">
        <f t="shared" si="345"/>
        <v>1965.9281873198361</v>
      </c>
      <c r="GD125" s="28">
        <f t="shared" si="353"/>
        <v>129578.69555555556</v>
      </c>
      <c r="GE125" s="45">
        <v>664193.96</v>
      </c>
      <c r="GF125" s="417"/>
      <c r="GG125" s="28">
        <f t="shared" si="413"/>
        <v>36899.664444444439</v>
      </c>
      <c r="GH125" s="45">
        <f t="shared" si="362"/>
        <v>1218222.56</v>
      </c>
      <c r="GI125" s="59">
        <v>157815.60999999999</v>
      </c>
      <c r="GJ125" s="59">
        <v>1060406.95</v>
      </c>
      <c r="GK125" s="408">
        <f t="shared" si="354"/>
        <v>67679.031111111108</v>
      </c>
      <c r="GL125" s="45"/>
      <c r="GM125" s="45">
        <v>450000</v>
      </c>
      <c r="GN125" s="45"/>
      <c r="GO125" s="23">
        <f t="shared" si="346"/>
        <v>0.1929329500718851</v>
      </c>
      <c r="GP125" s="45"/>
      <c r="GQ125" s="45"/>
      <c r="GR125" s="45"/>
      <c r="GS125" s="28"/>
      <c r="GT125" s="28"/>
      <c r="GU125" s="682"/>
      <c r="GV125" s="682"/>
      <c r="GW125" s="682"/>
      <c r="GX125" s="682"/>
      <c r="GY125" s="682"/>
      <c r="GZ125" s="681"/>
      <c r="HA125" s="682"/>
      <c r="HB125" s="682"/>
      <c r="HC125" s="45"/>
      <c r="HD125" s="602"/>
      <c r="HE125" s="608"/>
      <c r="HF125" s="602"/>
      <c r="HG125" s="602"/>
      <c r="HH125" s="608"/>
      <c r="HI125" s="602"/>
      <c r="HJ125" s="602"/>
      <c r="HK125" s="602"/>
      <c r="HL125" s="602"/>
      <c r="HM125" s="673"/>
      <c r="HN125" s="62"/>
      <c r="HO125" s="673"/>
      <c r="HP125" s="673">
        <f t="shared" si="386"/>
        <v>0</v>
      </c>
      <c r="HQ125" s="539"/>
      <c r="HR125" s="539"/>
      <c r="HS125" s="539"/>
      <c r="HT125" s="539"/>
      <c r="HU125" s="539"/>
      <c r="HV125" s="673"/>
      <c r="HW125" s="673">
        <f t="shared" si="393"/>
        <v>0</v>
      </c>
      <c r="HX125" s="539"/>
    </row>
    <row r="126" spans="1:232" ht="15" customHeight="1">
      <c r="A126" s="63" t="s">
        <v>923</v>
      </c>
      <c r="B126" s="32" t="s">
        <v>304</v>
      </c>
      <c r="C126" s="32" t="s">
        <v>91</v>
      </c>
      <c r="D126" s="31">
        <v>2022</v>
      </c>
      <c r="E126" s="32"/>
      <c r="F126" s="31"/>
      <c r="G126" s="31"/>
      <c r="H126" s="32" t="s">
        <v>287</v>
      </c>
      <c r="I126" s="31"/>
      <c r="J126" s="32" t="s">
        <v>720</v>
      </c>
      <c r="K126" s="141"/>
      <c r="L126" s="114"/>
      <c r="M126" s="115"/>
      <c r="N126" s="116"/>
      <c r="O126" s="147">
        <f>647+598</f>
        <v>1245</v>
      </c>
      <c r="P126" s="147">
        <v>747000</v>
      </c>
      <c r="Q126" s="147">
        <v>747000</v>
      </c>
      <c r="R126" s="142">
        <f t="shared" si="355"/>
        <v>16600</v>
      </c>
      <c r="S126" s="142">
        <f t="shared" si="356"/>
        <v>600</v>
      </c>
      <c r="T126" s="148">
        <f t="shared" si="357"/>
        <v>600</v>
      </c>
      <c r="U126" s="148">
        <f t="shared" si="414"/>
        <v>184.42167633625479</v>
      </c>
      <c r="V126" s="148">
        <f t="shared" si="359"/>
        <v>16600</v>
      </c>
      <c r="W126" s="142">
        <f t="shared" si="360"/>
        <v>27.666666666666668</v>
      </c>
      <c r="X126" s="149"/>
      <c r="Y126" s="525">
        <f t="shared" si="394"/>
        <v>361.4457831325301</v>
      </c>
      <c r="Z126" s="149" t="s">
        <v>719</v>
      </c>
      <c r="AA126" s="143">
        <v>10</v>
      </c>
      <c r="AB126" s="144">
        <v>0</v>
      </c>
      <c r="AC126" s="32" t="s">
        <v>301</v>
      </c>
      <c r="AD126" s="493">
        <f t="shared" si="338"/>
        <v>45</v>
      </c>
      <c r="AE126" s="493">
        <f t="shared" si="395"/>
        <v>45</v>
      </c>
      <c r="AF126" s="42"/>
      <c r="AG126" s="181"/>
      <c r="AH126" s="131">
        <v>45</v>
      </c>
      <c r="AI126" s="42"/>
      <c r="AJ126" s="35">
        <v>3488</v>
      </c>
      <c r="AK126" s="276">
        <v>4050.5</v>
      </c>
      <c r="AL126" s="586">
        <f t="shared" si="339"/>
        <v>77.511111111111106</v>
      </c>
      <c r="AM126" s="8">
        <f t="shared" si="340"/>
        <v>90.011111111111106</v>
      </c>
      <c r="AN126" s="35"/>
      <c r="AO126" s="35"/>
      <c r="AP126" s="35"/>
      <c r="AQ126" s="53"/>
      <c r="AR126" s="53"/>
      <c r="AS126" s="53"/>
      <c r="AT126" s="37"/>
      <c r="AU126" s="35"/>
      <c r="AV126" s="51"/>
      <c r="AW126" s="53" t="s">
        <v>133</v>
      </c>
      <c r="AX126" s="53" t="s">
        <v>133</v>
      </c>
      <c r="AY126" s="35"/>
      <c r="AZ126" s="34" t="s">
        <v>398</v>
      </c>
      <c r="BA126" s="31" t="s">
        <v>98</v>
      </c>
      <c r="BB126" s="37">
        <v>8405000</v>
      </c>
      <c r="BC126" s="504">
        <f t="shared" si="408"/>
        <v>2409.690366972477</v>
      </c>
      <c r="BD126" s="388">
        <f t="shared" si="387"/>
        <v>2075.0524626589308</v>
      </c>
      <c r="BE126" s="392">
        <f t="shared" si="409"/>
        <v>186777.77777777778</v>
      </c>
      <c r="BF126" s="164"/>
      <c r="BG126" s="164"/>
      <c r="BH126" s="31"/>
      <c r="BI126" s="31"/>
      <c r="BJ126" s="660"/>
      <c r="BK126" s="660"/>
      <c r="BL126" s="661"/>
      <c r="BM126" s="659">
        <f>(DATEDIF(BJ126,BK126,"d"))/30</f>
        <v>0</v>
      </c>
      <c r="BN126" s="578" t="s">
        <v>235</v>
      </c>
      <c r="BO126" s="110"/>
      <c r="BP126" s="139"/>
      <c r="BQ126" s="654">
        <f>(DATEDIF(BO126,BP126,"d"))/30</f>
        <v>0</v>
      </c>
      <c r="BR126" s="638"/>
      <c r="BS126" s="110"/>
      <c r="BT126" s="110"/>
      <c r="BU126" s="202"/>
      <c r="BV126" s="201"/>
      <c r="BW126" s="439"/>
      <c r="BX126" s="201"/>
      <c r="BY126" s="557"/>
      <c r="BZ126" s="439"/>
      <c r="CA126" s="439"/>
      <c r="CB126" s="341"/>
      <c r="CC126" s="341"/>
      <c r="CD126" s="341"/>
      <c r="CE126" s="343" t="str">
        <f>IF(AND(CC126&gt;0,CD126&gt;0),CD126-CC126,"0")</f>
        <v>0</v>
      </c>
      <c r="CF126" s="341"/>
      <c r="CG126" s="341"/>
      <c r="CH126" s="343" t="str">
        <f>IF(AND(CF126&gt;0,CG126&gt;0),CG126-CF126,"0")</f>
        <v>0</v>
      </c>
      <c r="CI126" s="341"/>
      <c r="CJ126" s="341"/>
      <c r="CK126" s="343" t="str">
        <f>IF(AND(CI126&gt;0,CJ126&gt;0),CJ126-CI126,"0")</f>
        <v>0</v>
      </c>
      <c r="CL126" s="344"/>
      <c r="CM126" s="341"/>
      <c r="CN126" s="343" t="str">
        <f>IF(AND(CL126&gt;0,CM126&gt;0),CM126-CL126,"0")</f>
        <v>0</v>
      </c>
      <c r="CO126" s="341"/>
      <c r="CP126" s="341"/>
      <c r="CQ126" s="343" t="str">
        <f>IF(AND(CO126&gt;0,CP126&gt;0),CP126-CO126,"0")</f>
        <v>0</v>
      </c>
      <c r="CR126" s="31"/>
      <c r="CS126" s="342"/>
      <c r="CT126" s="330"/>
      <c r="CU126" s="331"/>
      <c r="CV126" s="332" t="str">
        <f t="shared" si="337"/>
        <v>0</v>
      </c>
      <c r="CW126" s="330"/>
      <c r="CX126" s="449">
        <v>44745</v>
      </c>
      <c r="CY126" s="496"/>
      <c r="CZ126" s="284">
        <f t="shared" si="415"/>
        <v>1491.5</v>
      </c>
      <c r="DA126" s="332" t="str">
        <f t="shared" si="397"/>
        <v>0</v>
      </c>
      <c r="DB126" s="450">
        <v>20</v>
      </c>
      <c r="DC126" s="169">
        <f t="shared" si="398"/>
        <v>20</v>
      </c>
      <c r="DD126" s="330"/>
      <c r="DE126" s="335">
        <f t="shared" ca="1" si="366"/>
        <v>43950</v>
      </c>
      <c r="DF126" s="332" t="str">
        <f t="shared" ca="1" si="411"/>
        <v>0</v>
      </c>
      <c r="DG126" s="330"/>
      <c r="DH126" s="348">
        <f t="shared" ca="1" si="367"/>
        <v>43950</v>
      </c>
      <c r="DI126" s="333" t="str">
        <f t="shared" ca="1" si="399"/>
        <v>0</v>
      </c>
      <c r="DJ126" s="334"/>
      <c r="DK126" s="348">
        <f t="shared" ca="1" si="368"/>
        <v>43950</v>
      </c>
      <c r="DL126" s="332" t="str">
        <f t="shared" ca="1" si="347"/>
        <v>0</v>
      </c>
      <c r="DM126" s="335">
        <v>43536</v>
      </c>
      <c r="DN126" s="335">
        <f t="shared" ca="1" si="369"/>
        <v>43950</v>
      </c>
      <c r="DO126" s="332">
        <f t="shared" ca="1" si="400"/>
        <v>414</v>
      </c>
      <c r="DP126" s="336"/>
      <c r="DQ126" s="336"/>
      <c r="DR126" s="332" t="str">
        <f t="shared" si="401"/>
        <v>0</v>
      </c>
      <c r="DS126" s="335"/>
      <c r="DT126" s="335">
        <f t="shared" ca="1" si="370"/>
        <v>43950</v>
      </c>
      <c r="DU126" s="332" t="str">
        <f t="shared" ca="1" si="402"/>
        <v>0</v>
      </c>
      <c r="DV126" s="335">
        <v>43613</v>
      </c>
      <c r="DW126" s="335">
        <f t="shared" ca="1" si="371"/>
        <v>43950</v>
      </c>
      <c r="DX126" s="332">
        <f t="shared" ca="1" si="403"/>
        <v>337</v>
      </c>
      <c r="DY126" s="336"/>
      <c r="DZ126" s="336"/>
      <c r="EA126" s="336"/>
      <c r="EB126" s="477">
        <f t="shared" si="350"/>
        <v>45354</v>
      </c>
      <c r="EC126" s="476">
        <f t="shared" si="410"/>
        <v>45354</v>
      </c>
      <c r="ED126" s="473">
        <f t="shared" si="343"/>
        <v>0</v>
      </c>
      <c r="EE126" s="605">
        <f t="shared" ca="1" si="372"/>
        <v>46.8</v>
      </c>
      <c r="EF126" s="476">
        <f t="shared" ca="1" si="373"/>
        <v>44680</v>
      </c>
      <c r="EG126" s="535"/>
      <c r="EH126" s="526"/>
      <c r="EI126" s="536">
        <f t="shared" si="388"/>
        <v>45478</v>
      </c>
      <c r="EJ126" s="295"/>
      <c r="EK126" s="534">
        <f t="shared" si="384"/>
        <v>45385</v>
      </c>
      <c r="EL126" s="476">
        <f t="shared" si="375"/>
        <v>45385</v>
      </c>
      <c r="EM126" s="368"/>
      <c r="EN126" s="471">
        <f t="shared" si="389"/>
        <v>0</v>
      </c>
      <c r="EO126" s="461"/>
      <c r="EP126" s="173">
        <f t="shared" si="352"/>
        <v>0</v>
      </c>
      <c r="EQ126" s="689"/>
      <c r="ER126" s="353"/>
      <c r="ES126" s="353"/>
      <c r="ET126" s="353"/>
      <c r="EU126" s="353"/>
      <c r="EV126" s="353"/>
      <c r="EW126" s="483" t="e">
        <f t="shared" si="361"/>
        <v>#DIV/0!</v>
      </c>
      <c r="EX126" s="350"/>
      <c r="EY126" s="362"/>
      <c r="EZ126" s="350"/>
      <c r="FA126" s="350"/>
      <c r="FB126" s="126">
        <f t="shared" ca="1" si="385"/>
        <v>44680</v>
      </c>
      <c r="FC126" s="80"/>
      <c r="FD126" s="80"/>
      <c r="FE126" s="80"/>
      <c r="FF126" s="80"/>
      <c r="FG126" s="80"/>
      <c r="FH126" s="31"/>
      <c r="FI126" s="194">
        <f t="shared" si="351"/>
        <v>45719</v>
      </c>
      <c r="FJ126" s="194"/>
      <c r="FK126" s="31"/>
      <c r="FL126" s="31"/>
      <c r="FM126" s="31"/>
      <c r="FN126" s="31"/>
      <c r="FO126" s="31"/>
      <c r="FP126" s="31"/>
      <c r="FQ126" s="31"/>
      <c r="FR126" s="31"/>
      <c r="FS126" s="31"/>
      <c r="FT126" s="31"/>
      <c r="FU126" s="31"/>
      <c r="FV126" s="31"/>
      <c r="FW126" s="31"/>
      <c r="FX126" s="529"/>
      <c r="FY126" s="652">
        <f t="shared" si="344"/>
        <v>0</v>
      </c>
      <c r="FZ126" s="550">
        <f t="shared" si="365"/>
        <v>0</v>
      </c>
      <c r="GA126" s="45">
        <f t="shared" si="412"/>
        <v>0</v>
      </c>
      <c r="GB126" s="602">
        <f t="shared" si="390"/>
        <v>0</v>
      </c>
      <c r="GC126" s="28">
        <f t="shared" si="345"/>
        <v>0</v>
      </c>
      <c r="GD126" s="28">
        <f t="shared" si="353"/>
        <v>0</v>
      </c>
      <c r="GE126" s="45"/>
      <c r="GF126" s="417"/>
      <c r="GG126" s="28">
        <f t="shared" si="413"/>
        <v>0</v>
      </c>
      <c r="GH126" s="45">
        <f t="shared" si="362"/>
        <v>0</v>
      </c>
      <c r="GI126" s="59"/>
      <c r="GJ126" s="59"/>
      <c r="GK126" s="407">
        <f t="shared" si="354"/>
        <v>0</v>
      </c>
      <c r="GL126" s="45"/>
      <c r="GM126" s="44"/>
      <c r="GN126" s="45"/>
      <c r="GO126" s="23" t="e">
        <f t="shared" si="346"/>
        <v>#DIV/0!</v>
      </c>
      <c r="GP126" s="45"/>
      <c r="GQ126" s="45"/>
      <c r="GR126" s="45"/>
      <c r="GS126" s="28"/>
      <c r="GT126" s="28"/>
      <c r="GU126" s="682"/>
      <c r="GV126" s="682"/>
      <c r="GW126" s="682"/>
      <c r="GX126" s="682"/>
      <c r="GY126" s="682"/>
      <c r="GZ126" s="681"/>
      <c r="HA126" s="682"/>
      <c r="HB126" s="682"/>
      <c r="HC126" s="45"/>
      <c r="HD126" s="602"/>
      <c r="HE126" s="608" t="e">
        <f>HD126/FZ126</f>
        <v>#DIV/0!</v>
      </c>
      <c r="HF126" s="602">
        <f>FZ126-HD126</f>
        <v>0</v>
      </c>
      <c r="HG126" s="602">
        <f ca="1">IF(EE126&lt;DATEDIF(TODAY(),$HG$1,"M"),HF126,(HF126/EE126*DATEDIF(TODAY(),$HG$1,"M")))</f>
        <v>0</v>
      </c>
      <c r="HH126" s="608" t="e">
        <f ca="1">(HD126+HG126)/FZ126</f>
        <v>#DIV/0!</v>
      </c>
      <c r="HI126" s="602"/>
      <c r="HJ126" s="602">
        <f>GB126-HI126</f>
        <v>0</v>
      </c>
      <c r="HK126" s="602" t="e">
        <f>HI126/GB126</f>
        <v>#DIV/0!</v>
      </c>
      <c r="HL126" s="602"/>
      <c r="HM126" s="673"/>
      <c r="HN126" s="62"/>
      <c r="HO126" s="673"/>
      <c r="HP126" s="673">
        <f t="shared" si="386"/>
        <v>0</v>
      </c>
      <c r="HQ126" s="539"/>
      <c r="HR126" s="539"/>
      <c r="HS126" s="539"/>
      <c r="HT126" s="539"/>
      <c r="HU126" s="539"/>
      <c r="HV126" s="673"/>
      <c r="HW126" s="673">
        <f t="shared" si="393"/>
        <v>0</v>
      </c>
      <c r="HX126" s="539"/>
    </row>
    <row r="127" spans="1:232" ht="15" customHeight="1">
      <c r="A127" s="510" t="s">
        <v>846</v>
      </c>
      <c r="B127" s="32" t="s">
        <v>14</v>
      </c>
      <c r="C127" s="32" t="s">
        <v>90</v>
      </c>
      <c r="D127" s="31">
        <v>2021</v>
      </c>
      <c r="E127" s="15"/>
      <c r="F127" s="31" t="s">
        <v>864</v>
      </c>
      <c r="G127" s="31"/>
      <c r="H127" s="32"/>
      <c r="I127" s="31"/>
      <c r="J127" s="32"/>
      <c r="K127" s="141"/>
      <c r="L127" s="114"/>
      <c r="M127" s="115"/>
      <c r="N127" s="116"/>
      <c r="O127" s="147"/>
      <c r="P127" s="147"/>
      <c r="Q127" s="147"/>
      <c r="R127" s="142"/>
      <c r="S127" s="142"/>
      <c r="T127" s="148"/>
      <c r="U127" s="148"/>
      <c r="V127" s="148"/>
      <c r="W127" s="142"/>
      <c r="X127" s="149"/>
      <c r="Y127" s="525"/>
      <c r="Z127" s="149"/>
      <c r="AA127" s="143"/>
      <c r="AB127" s="144"/>
      <c r="AC127" s="32" t="s">
        <v>308</v>
      </c>
      <c r="AD127" s="493">
        <f t="shared" ref="AD127:AD152" si="416">SUM(AF127:AI127)</f>
        <v>36</v>
      </c>
      <c r="AE127" s="493"/>
      <c r="AF127" s="42"/>
      <c r="AG127" s="181"/>
      <c r="AH127" s="42"/>
      <c r="AI127" s="31">
        <v>36</v>
      </c>
      <c r="AJ127" s="35"/>
      <c r="AK127" s="276"/>
      <c r="AL127" s="586"/>
      <c r="AM127" s="8"/>
      <c r="AN127" s="35"/>
      <c r="AO127" s="35"/>
      <c r="AP127" s="35"/>
      <c r="AQ127" s="53"/>
      <c r="AR127" s="53"/>
      <c r="AS127" s="53"/>
      <c r="AT127" s="37"/>
      <c r="AU127" s="35"/>
      <c r="AV127" s="51"/>
      <c r="AW127" s="53"/>
      <c r="AX127" s="53"/>
      <c r="AY127" s="35"/>
      <c r="AZ127" s="31"/>
      <c r="BA127" s="31"/>
      <c r="BB127" s="74"/>
      <c r="BC127" s="737"/>
      <c r="BD127" s="738"/>
      <c r="BE127" s="739"/>
      <c r="BF127" s="164"/>
      <c r="BG127" s="164"/>
      <c r="BH127" s="31"/>
      <c r="BI127" s="31"/>
      <c r="BJ127" s="660"/>
      <c r="BK127" s="660"/>
      <c r="BL127" s="661"/>
      <c r="BM127" s="659"/>
      <c r="BN127" s="578"/>
      <c r="BO127" s="110"/>
      <c r="BP127" s="139"/>
      <c r="BQ127" s="654"/>
      <c r="BR127" s="638"/>
      <c r="BS127" s="110"/>
      <c r="BT127" s="110"/>
      <c r="BU127" s="202"/>
      <c r="BV127" s="201"/>
      <c r="BW127" s="439"/>
      <c r="BX127" s="201"/>
      <c r="BY127" s="557"/>
      <c r="BZ127" s="439"/>
      <c r="CA127" s="439"/>
      <c r="CB127" s="341"/>
      <c r="CC127" s="341"/>
      <c r="CD127" s="341"/>
      <c r="CE127" s="343"/>
      <c r="CF127" s="341"/>
      <c r="CG127" s="341"/>
      <c r="CH127" s="343"/>
      <c r="CI127" s="341"/>
      <c r="CJ127" s="341"/>
      <c r="CK127" s="343"/>
      <c r="CL127" s="344"/>
      <c r="CM127" s="341"/>
      <c r="CN127" s="343"/>
      <c r="CO127" s="341"/>
      <c r="CP127" s="341"/>
      <c r="CQ127" s="343"/>
      <c r="CR127" s="31"/>
      <c r="CS127" s="342"/>
      <c r="CT127" s="330"/>
      <c r="CU127" s="331"/>
      <c r="CV127" s="332"/>
      <c r="CW127" s="330"/>
      <c r="CX127" s="449">
        <v>44746</v>
      </c>
      <c r="CY127" s="496"/>
      <c r="CZ127" s="284">
        <f t="shared" si="415"/>
        <v>1491.5333333333333</v>
      </c>
      <c r="DA127" s="332" t="str">
        <f t="shared" si="397"/>
        <v>0</v>
      </c>
      <c r="DB127" s="450">
        <v>21</v>
      </c>
      <c r="DC127" s="169">
        <f t="shared" si="398"/>
        <v>21</v>
      </c>
      <c r="DD127" s="330"/>
      <c r="DE127" s="335">
        <f t="shared" ca="1" si="366"/>
        <v>43950</v>
      </c>
      <c r="DF127" s="332" t="str">
        <f t="shared" ca="1" si="411"/>
        <v>0</v>
      </c>
      <c r="DG127" s="330"/>
      <c r="DH127" s="348">
        <f t="shared" ca="1" si="367"/>
        <v>43950</v>
      </c>
      <c r="DI127" s="333" t="str">
        <f t="shared" ca="1" si="399"/>
        <v>0</v>
      </c>
      <c r="DJ127" s="334"/>
      <c r="DK127" s="348">
        <f t="shared" ca="1" si="368"/>
        <v>43950</v>
      </c>
      <c r="DL127" s="332" t="str">
        <f t="shared" ca="1" si="347"/>
        <v>0</v>
      </c>
      <c r="DM127" s="335">
        <v>43537</v>
      </c>
      <c r="DN127" s="335">
        <f t="shared" ca="1" si="369"/>
        <v>43950</v>
      </c>
      <c r="DO127" s="332">
        <f t="shared" ca="1" si="400"/>
        <v>413</v>
      </c>
      <c r="DP127" s="336"/>
      <c r="DQ127" s="336"/>
      <c r="DR127" s="332" t="str">
        <f t="shared" si="401"/>
        <v>0</v>
      </c>
      <c r="DS127" s="335"/>
      <c r="DT127" s="335">
        <f t="shared" ca="1" si="370"/>
        <v>43950</v>
      </c>
      <c r="DU127" s="332" t="str">
        <f t="shared" ca="1" si="402"/>
        <v>0</v>
      </c>
      <c r="DV127" s="335">
        <v>43614</v>
      </c>
      <c r="DW127" s="335">
        <f t="shared" ca="1" si="371"/>
        <v>43950</v>
      </c>
      <c r="DX127" s="332">
        <f t="shared" ca="1" si="403"/>
        <v>336</v>
      </c>
      <c r="DY127" s="336"/>
      <c r="DZ127" s="336"/>
      <c r="EA127" s="336"/>
      <c r="EB127" s="477">
        <f t="shared" si="350"/>
        <v>45386</v>
      </c>
      <c r="EC127" s="476">
        <f t="shared" si="410"/>
        <v>45386</v>
      </c>
      <c r="ED127" s="473">
        <f t="shared" ref="ED127:ED158" si="417">(EC127-EB127)/30</f>
        <v>0</v>
      </c>
      <c r="EE127" s="605">
        <f t="shared" ca="1" si="372"/>
        <v>47.866666666666667</v>
      </c>
      <c r="EF127" s="476">
        <f t="shared" ca="1" si="373"/>
        <v>44680</v>
      </c>
      <c r="EG127" s="535"/>
      <c r="EH127" s="526"/>
      <c r="EI127" s="536">
        <f t="shared" si="388"/>
        <v>45510</v>
      </c>
      <c r="EJ127" s="295"/>
      <c r="EK127" s="534">
        <f t="shared" si="384"/>
        <v>45416</v>
      </c>
      <c r="EL127" s="476">
        <f t="shared" si="375"/>
        <v>45416</v>
      </c>
      <c r="EM127" s="368"/>
      <c r="EN127" s="471">
        <f t="shared" si="389"/>
        <v>0</v>
      </c>
      <c r="EO127" s="461"/>
      <c r="EP127" s="173">
        <f t="shared" si="352"/>
        <v>0</v>
      </c>
      <c r="EQ127" s="77"/>
      <c r="ER127" s="353"/>
      <c r="ES127" s="353"/>
      <c r="ET127" s="353"/>
      <c r="EU127" s="353"/>
      <c r="EV127" s="482"/>
      <c r="EW127" s="483" t="e">
        <f t="shared" si="361"/>
        <v>#DIV/0!</v>
      </c>
      <c r="EX127" s="350"/>
      <c r="EY127" s="362"/>
      <c r="EZ127" s="355"/>
      <c r="FA127" s="355"/>
      <c r="FB127" s="126">
        <f t="shared" ca="1" si="385"/>
        <v>44680</v>
      </c>
      <c r="FC127" s="80"/>
      <c r="FD127" s="80"/>
      <c r="FE127" s="80"/>
      <c r="FF127" s="80"/>
      <c r="FG127" s="80"/>
      <c r="FH127" s="31"/>
      <c r="FI127" s="194">
        <f t="shared" si="351"/>
        <v>45751</v>
      </c>
      <c r="FJ127" s="194"/>
      <c r="FK127" s="31"/>
      <c r="FL127" s="31"/>
      <c r="FM127" s="31"/>
      <c r="FN127" s="31"/>
      <c r="FO127" s="31"/>
      <c r="FP127" s="31"/>
      <c r="FQ127" s="31"/>
      <c r="FR127" s="31"/>
      <c r="FS127" s="31"/>
      <c r="FT127" s="31"/>
      <c r="FU127" s="31"/>
      <c r="FV127" s="31"/>
      <c r="FW127" s="31"/>
      <c r="FX127" s="529"/>
      <c r="FY127" s="652">
        <f t="shared" ref="FY127:FY152" si="418">GE127+GH127+GM127+HC127+GL127+GR127+GP127+GQ127</f>
        <v>0</v>
      </c>
      <c r="FZ127" s="550">
        <f t="shared" si="365"/>
        <v>0</v>
      </c>
      <c r="GA127" s="45">
        <f t="shared" si="412"/>
        <v>0</v>
      </c>
      <c r="GB127" s="602">
        <f t="shared" si="390"/>
        <v>0</v>
      </c>
      <c r="GC127" s="28" t="e">
        <f t="shared" ref="GC127:GC152" si="419">FZ127/AK127</f>
        <v>#DIV/0!</v>
      </c>
      <c r="GD127" s="28">
        <f t="shared" si="353"/>
        <v>0</v>
      </c>
      <c r="GE127" s="45"/>
      <c r="GF127" s="417"/>
      <c r="GG127" s="28">
        <f t="shared" si="413"/>
        <v>0</v>
      </c>
      <c r="GH127" s="45">
        <f t="shared" si="362"/>
        <v>0</v>
      </c>
      <c r="GI127" s="59"/>
      <c r="GJ127" s="59"/>
      <c r="GK127" s="408">
        <f t="shared" si="354"/>
        <v>0</v>
      </c>
      <c r="GL127" s="45"/>
      <c r="GM127" s="44"/>
      <c r="GN127" s="45"/>
      <c r="GO127" s="23" t="e">
        <f t="shared" ref="GO127:GO152" si="420">GM127/FZ127</f>
        <v>#DIV/0!</v>
      </c>
      <c r="GP127" s="45"/>
      <c r="GQ127" s="45"/>
      <c r="GR127" s="45"/>
      <c r="GS127" s="28"/>
      <c r="GT127" s="28"/>
      <c r="GU127" s="682"/>
      <c r="GV127" s="682"/>
      <c r="GW127" s="682"/>
      <c r="GX127" s="682"/>
      <c r="GY127" s="682"/>
      <c r="GZ127" s="681"/>
      <c r="HA127" s="682"/>
      <c r="HB127" s="682"/>
      <c r="HC127" s="45"/>
      <c r="HD127" s="602"/>
      <c r="HE127" s="608"/>
      <c r="HF127" s="602"/>
      <c r="HG127" s="602"/>
      <c r="HH127" s="608"/>
      <c r="HI127" s="602"/>
      <c r="HJ127" s="602"/>
      <c r="HK127" s="602"/>
      <c r="HL127" s="602"/>
      <c r="HM127" s="673"/>
      <c r="HN127" s="62"/>
      <c r="HO127" s="673"/>
      <c r="HP127" s="673"/>
      <c r="HQ127" s="539"/>
      <c r="HR127" s="539"/>
      <c r="HS127" s="539"/>
      <c r="HT127" s="539"/>
      <c r="HU127" s="539"/>
      <c r="HV127" s="673"/>
      <c r="HW127" s="673"/>
      <c r="HX127" s="539"/>
    </row>
    <row r="128" spans="1:232" ht="15" customHeight="1">
      <c r="A128" s="510" t="s">
        <v>847</v>
      </c>
      <c r="B128" s="32" t="s">
        <v>14</v>
      </c>
      <c r="C128" s="32" t="s">
        <v>90</v>
      </c>
      <c r="D128" s="31">
        <v>2021</v>
      </c>
      <c r="E128" s="32"/>
      <c r="F128" s="31" t="s">
        <v>864</v>
      </c>
      <c r="G128" s="31"/>
      <c r="H128" s="32"/>
      <c r="I128" s="31"/>
      <c r="J128" s="32"/>
      <c r="K128" s="141"/>
      <c r="L128" s="114"/>
      <c r="M128" s="115"/>
      <c r="N128" s="116"/>
      <c r="O128" s="147"/>
      <c r="P128" s="147"/>
      <c r="Q128" s="147"/>
      <c r="R128" s="142"/>
      <c r="S128" s="142"/>
      <c r="T128" s="148"/>
      <c r="U128" s="148"/>
      <c r="V128" s="148"/>
      <c r="W128" s="142"/>
      <c r="X128" s="149"/>
      <c r="Y128" s="525"/>
      <c r="Z128" s="149"/>
      <c r="AA128" s="143"/>
      <c r="AB128" s="144"/>
      <c r="AC128" s="32" t="s">
        <v>308</v>
      </c>
      <c r="AD128" s="493">
        <f t="shared" si="416"/>
        <v>40</v>
      </c>
      <c r="AE128" s="493"/>
      <c r="AF128" s="42"/>
      <c r="AG128" s="181"/>
      <c r="AH128" s="42"/>
      <c r="AI128" s="31">
        <v>40</v>
      </c>
      <c r="AJ128" s="35"/>
      <c r="AK128" s="276"/>
      <c r="AL128" s="586"/>
      <c r="AM128" s="8"/>
      <c r="AN128" s="35"/>
      <c r="AO128" s="35"/>
      <c r="AP128" s="35"/>
      <c r="AQ128" s="53"/>
      <c r="AR128" s="53"/>
      <c r="AS128" s="53"/>
      <c r="AT128" s="37"/>
      <c r="AU128" s="35"/>
      <c r="AV128" s="51"/>
      <c r="AW128" s="53"/>
      <c r="AX128" s="53"/>
      <c r="AY128" s="35"/>
      <c r="AZ128" s="31"/>
      <c r="BA128" s="31"/>
      <c r="BB128" s="74"/>
      <c r="BC128" s="737"/>
      <c r="BD128" s="738"/>
      <c r="BE128" s="739"/>
      <c r="BF128" s="164"/>
      <c r="BG128" s="164"/>
      <c r="BH128" s="31"/>
      <c r="BI128" s="31"/>
      <c r="BJ128" s="660"/>
      <c r="BK128" s="660"/>
      <c r="BL128" s="661"/>
      <c r="BM128" s="659"/>
      <c r="BN128" s="578"/>
      <c r="BO128" s="110"/>
      <c r="BP128" s="139"/>
      <c r="BQ128" s="654"/>
      <c r="BR128" s="638"/>
      <c r="BS128" s="110"/>
      <c r="BT128" s="110"/>
      <c r="BU128" s="202"/>
      <c r="BV128" s="201"/>
      <c r="BW128" s="439"/>
      <c r="BX128" s="201"/>
      <c r="BY128" s="557"/>
      <c r="BZ128" s="439"/>
      <c r="CA128" s="439"/>
      <c r="CB128" s="341"/>
      <c r="CC128" s="341"/>
      <c r="CD128" s="341"/>
      <c r="CE128" s="343"/>
      <c r="CF128" s="341"/>
      <c r="CG128" s="341"/>
      <c r="CH128" s="343"/>
      <c r="CI128" s="341"/>
      <c r="CJ128" s="341"/>
      <c r="CK128" s="343"/>
      <c r="CL128" s="344"/>
      <c r="CM128" s="341"/>
      <c r="CN128" s="343"/>
      <c r="CO128" s="341"/>
      <c r="CP128" s="341"/>
      <c r="CQ128" s="343"/>
      <c r="CR128" s="31"/>
      <c r="CS128" s="342"/>
      <c r="CT128" s="330"/>
      <c r="CU128" s="331"/>
      <c r="CV128" s="332"/>
      <c r="CW128" s="330"/>
      <c r="CX128" s="449">
        <v>44747</v>
      </c>
      <c r="CY128" s="496"/>
      <c r="CZ128" s="284">
        <f t="shared" si="415"/>
        <v>1491.5666666666666</v>
      </c>
      <c r="DA128" s="332" t="str">
        <f t="shared" si="397"/>
        <v>0</v>
      </c>
      <c r="DB128" s="450">
        <v>22</v>
      </c>
      <c r="DC128" s="169">
        <f t="shared" si="398"/>
        <v>22</v>
      </c>
      <c r="DD128" s="330"/>
      <c r="DE128" s="335">
        <f t="shared" ca="1" si="366"/>
        <v>43950</v>
      </c>
      <c r="DF128" s="332" t="str">
        <f t="shared" ca="1" si="411"/>
        <v>0</v>
      </c>
      <c r="DG128" s="330"/>
      <c r="DH128" s="348">
        <f t="shared" ca="1" si="367"/>
        <v>43950</v>
      </c>
      <c r="DI128" s="333" t="str">
        <f t="shared" ca="1" si="399"/>
        <v>0</v>
      </c>
      <c r="DJ128" s="334"/>
      <c r="DK128" s="348">
        <f t="shared" ca="1" si="368"/>
        <v>43950</v>
      </c>
      <c r="DL128" s="332" t="str">
        <f t="shared" ref="DL128:DL159" ca="1" si="421">IF(AND(DJ128&gt;0,DK128&gt;0),DK128-DJ128,"0")</f>
        <v>0</v>
      </c>
      <c r="DM128" s="335">
        <v>43538</v>
      </c>
      <c r="DN128" s="335">
        <f t="shared" ca="1" si="369"/>
        <v>43950</v>
      </c>
      <c r="DO128" s="332">
        <f t="shared" ca="1" si="400"/>
        <v>412</v>
      </c>
      <c r="DP128" s="336"/>
      <c r="DQ128" s="336"/>
      <c r="DR128" s="332" t="str">
        <f t="shared" si="401"/>
        <v>0</v>
      </c>
      <c r="DS128" s="335"/>
      <c r="DT128" s="335">
        <f t="shared" ca="1" si="370"/>
        <v>43950</v>
      </c>
      <c r="DU128" s="332" t="str">
        <f t="shared" ca="1" si="402"/>
        <v>0</v>
      </c>
      <c r="DV128" s="335">
        <v>43615</v>
      </c>
      <c r="DW128" s="335">
        <f t="shared" ca="1" si="371"/>
        <v>43950</v>
      </c>
      <c r="DX128" s="332">
        <f t="shared" ca="1" si="403"/>
        <v>335</v>
      </c>
      <c r="DY128" s="336"/>
      <c r="DZ128" s="336"/>
      <c r="EA128" s="336"/>
      <c r="EB128" s="477">
        <f t="shared" si="350"/>
        <v>45417</v>
      </c>
      <c r="EC128" s="476">
        <f t="shared" si="410"/>
        <v>45417</v>
      </c>
      <c r="ED128" s="473">
        <f t="shared" si="417"/>
        <v>0</v>
      </c>
      <c r="EE128" s="605">
        <f t="shared" ca="1" si="372"/>
        <v>48.9</v>
      </c>
      <c r="EF128" s="476">
        <f t="shared" ca="1" si="373"/>
        <v>44680</v>
      </c>
      <c r="EG128" s="535"/>
      <c r="EH128" s="526"/>
      <c r="EI128" s="536">
        <f t="shared" si="388"/>
        <v>45542</v>
      </c>
      <c r="EJ128" s="295"/>
      <c r="EK128" s="534">
        <f t="shared" si="384"/>
        <v>45448</v>
      </c>
      <c r="EL128" s="476">
        <f t="shared" si="375"/>
        <v>45448</v>
      </c>
      <c r="EM128" s="368"/>
      <c r="EN128" s="471">
        <f t="shared" si="389"/>
        <v>0</v>
      </c>
      <c r="EO128" s="461"/>
      <c r="EP128" s="173">
        <f t="shared" si="352"/>
        <v>0</v>
      </c>
      <c r="EQ128" s="77"/>
      <c r="ER128" s="353"/>
      <c r="ES128" s="353"/>
      <c r="ET128" s="353"/>
      <c r="EU128" s="353"/>
      <c r="EV128" s="482"/>
      <c r="EW128" s="483" t="e">
        <f t="shared" si="361"/>
        <v>#DIV/0!</v>
      </c>
      <c r="EX128" s="350"/>
      <c r="EY128" s="362"/>
      <c r="EZ128" s="355"/>
      <c r="FA128" s="355"/>
      <c r="FB128" s="126">
        <f t="shared" ca="1" si="385"/>
        <v>44680</v>
      </c>
      <c r="FC128" s="80"/>
      <c r="FD128" s="80"/>
      <c r="FE128" s="80"/>
      <c r="FF128" s="80"/>
      <c r="FG128" s="80"/>
      <c r="FH128" s="31"/>
      <c r="FI128" s="194">
        <f t="shared" si="351"/>
        <v>45782</v>
      </c>
      <c r="FJ128" s="194"/>
      <c r="FK128" s="31"/>
      <c r="FL128" s="31"/>
      <c r="FM128" s="31"/>
      <c r="FN128" s="31"/>
      <c r="FO128" s="31"/>
      <c r="FP128" s="31"/>
      <c r="FQ128" s="31"/>
      <c r="FR128" s="31"/>
      <c r="FS128" s="31"/>
      <c r="FT128" s="31"/>
      <c r="FU128" s="31"/>
      <c r="FV128" s="31"/>
      <c r="FW128" s="31"/>
      <c r="FX128" s="529"/>
      <c r="FY128" s="652">
        <f t="shared" si="418"/>
        <v>0</v>
      </c>
      <c r="FZ128" s="550">
        <f t="shared" si="365"/>
        <v>0</v>
      </c>
      <c r="GA128" s="45">
        <f t="shared" si="412"/>
        <v>0</v>
      </c>
      <c r="GB128" s="602">
        <f t="shared" si="390"/>
        <v>0</v>
      </c>
      <c r="GC128" s="28" t="e">
        <f t="shared" si="419"/>
        <v>#DIV/0!</v>
      </c>
      <c r="GD128" s="28">
        <f t="shared" si="353"/>
        <v>0</v>
      </c>
      <c r="GE128" s="45"/>
      <c r="GF128" s="417"/>
      <c r="GG128" s="28">
        <f t="shared" si="413"/>
        <v>0</v>
      </c>
      <c r="GH128" s="45">
        <f t="shared" si="362"/>
        <v>0</v>
      </c>
      <c r="GI128" s="59"/>
      <c r="GJ128" s="59"/>
      <c r="GK128" s="408">
        <f t="shared" si="354"/>
        <v>0</v>
      </c>
      <c r="GL128" s="45"/>
      <c r="GM128" s="44"/>
      <c r="GN128" s="45"/>
      <c r="GO128" s="23" t="e">
        <f t="shared" si="420"/>
        <v>#DIV/0!</v>
      </c>
      <c r="GP128" s="45"/>
      <c r="GQ128" s="45"/>
      <c r="GR128" s="45"/>
      <c r="GS128" s="28"/>
      <c r="GT128" s="28"/>
      <c r="GU128" s="682"/>
      <c r="GV128" s="682"/>
      <c r="GW128" s="682"/>
      <c r="GX128" s="682"/>
      <c r="GY128" s="682"/>
      <c r="GZ128" s="681"/>
      <c r="HA128" s="682"/>
      <c r="HB128" s="682"/>
      <c r="HC128" s="45"/>
      <c r="HD128" s="602"/>
      <c r="HE128" s="608"/>
      <c r="HF128" s="602"/>
      <c r="HG128" s="602"/>
      <c r="HH128" s="608"/>
      <c r="HI128" s="602"/>
      <c r="HJ128" s="602"/>
      <c r="HK128" s="602"/>
      <c r="HL128" s="602"/>
      <c r="HM128" s="673"/>
      <c r="HN128" s="62"/>
      <c r="HO128" s="673"/>
      <c r="HP128" s="673"/>
      <c r="HQ128" s="539"/>
      <c r="HR128" s="539"/>
      <c r="HS128" s="539"/>
      <c r="HT128" s="539"/>
      <c r="HU128" s="539"/>
      <c r="HV128" s="673"/>
      <c r="HW128" s="673">
        <f t="shared" ref="HW128:HW139" si="422">HV128+HP128+HO128+HM128</f>
        <v>0</v>
      </c>
      <c r="HX128" s="539"/>
    </row>
    <row r="129" spans="1:232 16317:16317" ht="15" customHeight="1">
      <c r="A129" s="510" t="s">
        <v>848</v>
      </c>
      <c r="B129" s="32" t="s">
        <v>14</v>
      </c>
      <c r="C129" s="32" t="s">
        <v>90</v>
      </c>
      <c r="D129" s="31">
        <v>2021</v>
      </c>
      <c r="E129" s="32"/>
      <c r="F129" s="31" t="s">
        <v>864</v>
      </c>
      <c r="G129" s="31"/>
      <c r="H129" s="32"/>
      <c r="I129" s="31"/>
      <c r="J129" s="32"/>
      <c r="K129" s="141"/>
      <c r="L129" s="114"/>
      <c r="M129" s="115"/>
      <c r="N129" s="116"/>
      <c r="O129" s="147"/>
      <c r="P129" s="147"/>
      <c r="Q129" s="147"/>
      <c r="R129" s="142"/>
      <c r="S129" s="142"/>
      <c r="T129" s="148"/>
      <c r="U129" s="148"/>
      <c r="V129" s="148"/>
      <c r="W129" s="142"/>
      <c r="X129" s="149"/>
      <c r="Y129" s="525"/>
      <c r="Z129" s="149"/>
      <c r="AA129" s="143"/>
      <c r="AB129" s="144"/>
      <c r="AC129" s="32" t="s">
        <v>308</v>
      </c>
      <c r="AD129" s="493">
        <f t="shared" si="416"/>
        <v>57</v>
      </c>
      <c r="AE129" s="493"/>
      <c r="AF129" s="42"/>
      <c r="AG129" s="181"/>
      <c r="AH129" s="42"/>
      <c r="AI129" s="31">
        <v>57</v>
      </c>
      <c r="AJ129" s="35"/>
      <c r="AK129" s="276"/>
      <c r="AL129" s="586"/>
      <c r="AM129" s="8"/>
      <c r="AN129" s="35"/>
      <c r="AO129" s="35"/>
      <c r="AP129" s="35"/>
      <c r="AQ129" s="53"/>
      <c r="AR129" s="53"/>
      <c r="AS129" s="53"/>
      <c r="AT129" s="37"/>
      <c r="AU129" s="35"/>
      <c r="AV129" s="51"/>
      <c r="AW129" s="53"/>
      <c r="AX129" s="53"/>
      <c r="AY129" s="35"/>
      <c r="AZ129" s="31"/>
      <c r="BA129" s="31"/>
      <c r="BB129" s="74"/>
      <c r="BC129" s="737"/>
      <c r="BD129" s="738"/>
      <c r="BE129" s="739"/>
      <c r="BF129" s="164"/>
      <c r="BG129" s="164"/>
      <c r="BH129" s="31"/>
      <c r="BI129" s="31"/>
      <c r="BJ129" s="660"/>
      <c r="BK129" s="660"/>
      <c r="BL129" s="661"/>
      <c r="BM129" s="659"/>
      <c r="BN129" s="578"/>
      <c r="BO129" s="110"/>
      <c r="BP129" s="139"/>
      <c r="BQ129" s="654"/>
      <c r="BR129" s="638"/>
      <c r="BS129" s="110"/>
      <c r="BT129" s="110"/>
      <c r="BU129" s="202"/>
      <c r="BV129" s="201"/>
      <c r="BW129" s="439"/>
      <c r="BX129" s="201"/>
      <c r="BY129" s="557"/>
      <c r="BZ129" s="439"/>
      <c r="CA129" s="439"/>
      <c r="CB129" s="341"/>
      <c r="CC129" s="341"/>
      <c r="CD129" s="341"/>
      <c r="CE129" s="343"/>
      <c r="CF129" s="341"/>
      <c r="CG129" s="341"/>
      <c r="CH129" s="343"/>
      <c r="CI129" s="341"/>
      <c r="CJ129" s="341"/>
      <c r="CK129" s="343"/>
      <c r="CL129" s="344"/>
      <c r="CM129" s="341"/>
      <c r="CN129" s="343"/>
      <c r="CO129" s="341"/>
      <c r="CP129" s="341"/>
      <c r="CQ129" s="343"/>
      <c r="CR129" s="31"/>
      <c r="CS129" s="342"/>
      <c r="CT129" s="330"/>
      <c r="CU129" s="331"/>
      <c r="CV129" s="332"/>
      <c r="CW129" s="330"/>
      <c r="CX129" s="449">
        <v>44748</v>
      </c>
      <c r="CY129" s="496"/>
      <c r="CZ129" s="284">
        <f t="shared" si="415"/>
        <v>1491.6</v>
      </c>
      <c r="DA129" s="332" t="str">
        <f t="shared" si="397"/>
        <v>0</v>
      </c>
      <c r="DB129" s="450">
        <v>23</v>
      </c>
      <c r="DC129" s="169">
        <f t="shared" si="398"/>
        <v>23</v>
      </c>
      <c r="DD129" s="330"/>
      <c r="DE129" s="335">
        <f t="shared" ca="1" si="366"/>
        <v>43950</v>
      </c>
      <c r="DF129" s="332" t="str">
        <f t="shared" ca="1" si="411"/>
        <v>0</v>
      </c>
      <c r="DG129" s="330"/>
      <c r="DH129" s="348">
        <f t="shared" ca="1" si="367"/>
        <v>43950</v>
      </c>
      <c r="DI129" s="333" t="str">
        <f t="shared" ca="1" si="399"/>
        <v>0</v>
      </c>
      <c r="DJ129" s="334"/>
      <c r="DK129" s="348">
        <f t="shared" ca="1" si="368"/>
        <v>43950</v>
      </c>
      <c r="DL129" s="332" t="str">
        <f t="shared" ca="1" si="421"/>
        <v>0</v>
      </c>
      <c r="DM129" s="335">
        <v>43539</v>
      </c>
      <c r="DN129" s="335">
        <f t="shared" ca="1" si="369"/>
        <v>43950</v>
      </c>
      <c r="DO129" s="332">
        <f t="shared" ca="1" si="400"/>
        <v>411</v>
      </c>
      <c r="DP129" s="336"/>
      <c r="DQ129" s="336"/>
      <c r="DR129" s="332" t="str">
        <f t="shared" si="401"/>
        <v>0</v>
      </c>
      <c r="DS129" s="335"/>
      <c r="DT129" s="335">
        <f t="shared" ca="1" si="370"/>
        <v>43950</v>
      </c>
      <c r="DU129" s="332" t="str">
        <f t="shared" ca="1" si="402"/>
        <v>0</v>
      </c>
      <c r="DV129" s="335">
        <v>43616</v>
      </c>
      <c r="DW129" s="335">
        <f t="shared" ca="1" si="371"/>
        <v>43950</v>
      </c>
      <c r="DX129" s="332">
        <f t="shared" ca="1" si="403"/>
        <v>334</v>
      </c>
      <c r="DY129" s="336"/>
      <c r="DZ129" s="336"/>
      <c r="EA129" s="336"/>
      <c r="EB129" s="477">
        <f t="shared" si="350"/>
        <v>45449</v>
      </c>
      <c r="EC129" s="476">
        <f t="shared" si="410"/>
        <v>45449</v>
      </c>
      <c r="ED129" s="473">
        <f t="shared" si="417"/>
        <v>0</v>
      </c>
      <c r="EE129" s="605">
        <f t="shared" ca="1" si="372"/>
        <v>49.966666666666669</v>
      </c>
      <c r="EF129" s="476">
        <f t="shared" ca="1" si="373"/>
        <v>44680</v>
      </c>
      <c r="EG129" s="535"/>
      <c r="EH129" s="526"/>
      <c r="EI129" s="536">
        <f t="shared" si="388"/>
        <v>45573</v>
      </c>
      <c r="EJ129" s="295"/>
      <c r="EK129" s="534">
        <f t="shared" si="384"/>
        <v>45479</v>
      </c>
      <c r="EL129" s="476">
        <f t="shared" si="375"/>
        <v>45479</v>
      </c>
      <c r="EM129" s="368"/>
      <c r="EN129" s="471">
        <f t="shared" si="389"/>
        <v>0</v>
      </c>
      <c r="EO129" s="461"/>
      <c r="EP129" s="173">
        <f t="shared" si="352"/>
        <v>0</v>
      </c>
      <c r="EQ129" s="77"/>
      <c r="ER129" s="353"/>
      <c r="ES129" s="353"/>
      <c r="ET129" s="353"/>
      <c r="EU129" s="353"/>
      <c r="EV129" s="482"/>
      <c r="EW129" s="483" t="e">
        <f t="shared" si="361"/>
        <v>#DIV/0!</v>
      </c>
      <c r="EX129" s="350"/>
      <c r="EY129" s="362"/>
      <c r="EZ129" s="355"/>
      <c r="FA129" s="355"/>
      <c r="FB129" s="126">
        <f t="shared" ca="1" si="385"/>
        <v>44680</v>
      </c>
      <c r="FC129" s="80"/>
      <c r="FD129" s="80"/>
      <c r="FE129" s="80"/>
      <c r="FF129" s="80"/>
      <c r="FG129" s="80"/>
      <c r="FH129" s="31"/>
      <c r="FI129" s="194">
        <f t="shared" si="351"/>
        <v>45814</v>
      </c>
      <c r="FJ129" s="194"/>
      <c r="FK129" s="31"/>
      <c r="FL129" s="31"/>
      <c r="FM129" s="31"/>
      <c r="FN129" s="31"/>
      <c r="FO129" s="31"/>
      <c r="FP129" s="31"/>
      <c r="FQ129" s="31"/>
      <c r="FR129" s="31"/>
      <c r="FS129" s="31"/>
      <c r="FT129" s="31"/>
      <c r="FU129" s="31"/>
      <c r="FV129" s="31"/>
      <c r="FW129" s="31"/>
      <c r="FX129" s="529"/>
      <c r="FY129" s="652">
        <f t="shared" si="418"/>
        <v>0</v>
      </c>
      <c r="FZ129" s="550">
        <f t="shared" si="365"/>
        <v>0</v>
      </c>
      <c r="GA129" s="45">
        <f t="shared" si="412"/>
        <v>0</v>
      </c>
      <c r="GB129" s="602">
        <f t="shared" si="390"/>
        <v>0</v>
      </c>
      <c r="GC129" s="28" t="e">
        <f t="shared" si="419"/>
        <v>#DIV/0!</v>
      </c>
      <c r="GD129" s="28">
        <f t="shared" si="353"/>
        <v>0</v>
      </c>
      <c r="GE129" s="45"/>
      <c r="GF129" s="417"/>
      <c r="GG129" s="28">
        <f t="shared" si="413"/>
        <v>0</v>
      </c>
      <c r="GH129" s="45">
        <f t="shared" si="362"/>
        <v>0</v>
      </c>
      <c r="GI129" s="59"/>
      <c r="GJ129" s="59"/>
      <c r="GK129" s="408">
        <f t="shared" si="354"/>
        <v>0</v>
      </c>
      <c r="GL129" s="45"/>
      <c r="GM129" s="44"/>
      <c r="GN129" s="45"/>
      <c r="GO129" s="60" t="e">
        <f t="shared" si="420"/>
        <v>#DIV/0!</v>
      </c>
      <c r="GP129" s="45"/>
      <c r="GQ129" s="45"/>
      <c r="GR129" s="45"/>
      <c r="GS129" s="28"/>
      <c r="GT129" s="28"/>
      <c r="GU129" s="682"/>
      <c r="GV129" s="682"/>
      <c r="GW129" s="682"/>
      <c r="GX129" s="682"/>
      <c r="GY129" s="682"/>
      <c r="GZ129" s="681"/>
      <c r="HA129" s="682"/>
      <c r="HB129" s="682"/>
      <c r="HC129" s="45"/>
      <c r="HD129" s="602"/>
      <c r="HE129" s="608"/>
      <c r="HF129" s="602"/>
      <c r="HG129" s="602"/>
      <c r="HH129" s="608"/>
      <c r="HI129" s="602"/>
      <c r="HJ129" s="602"/>
      <c r="HK129" s="602"/>
      <c r="HL129" s="602"/>
      <c r="HM129" s="673"/>
      <c r="HN129" s="62"/>
      <c r="HO129" s="673"/>
      <c r="HP129" s="673"/>
      <c r="HQ129" s="539"/>
      <c r="HR129" s="539"/>
      <c r="HS129" s="539"/>
      <c r="HT129" s="539"/>
      <c r="HU129" s="539"/>
      <c r="HV129" s="673"/>
      <c r="HW129" s="673">
        <f t="shared" si="422"/>
        <v>0</v>
      </c>
      <c r="HX129" s="539"/>
    </row>
    <row r="130" spans="1:232 16317:16317" ht="15" customHeight="1">
      <c r="A130" s="510" t="s">
        <v>849</v>
      </c>
      <c r="B130" s="32" t="s">
        <v>195</v>
      </c>
      <c r="C130" s="32" t="s">
        <v>92</v>
      </c>
      <c r="D130" s="31">
        <v>2021</v>
      </c>
      <c r="E130" s="32"/>
      <c r="F130" s="31" t="s">
        <v>864</v>
      </c>
      <c r="G130" s="31"/>
      <c r="H130" s="32"/>
      <c r="I130" s="31"/>
      <c r="J130" s="32"/>
      <c r="K130" s="141"/>
      <c r="L130" s="114"/>
      <c r="M130" s="115"/>
      <c r="N130" s="116"/>
      <c r="O130" s="147"/>
      <c r="P130" s="147"/>
      <c r="Q130" s="147"/>
      <c r="R130" s="142"/>
      <c r="S130" s="142"/>
      <c r="T130" s="148"/>
      <c r="U130" s="148"/>
      <c r="V130" s="148"/>
      <c r="W130" s="142"/>
      <c r="X130" s="149"/>
      <c r="Y130" s="525"/>
      <c r="Z130" s="149"/>
      <c r="AA130" s="143"/>
      <c r="AB130" s="144"/>
      <c r="AC130" s="32" t="s">
        <v>308</v>
      </c>
      <c r="AD130" s="493">
        <f t="shared" si="416"/>
        <v>29</v>
      </c>
      <c r="AE130" s="494"/>
      <c r="AF130" s="42"/>
      <c r="AG130" s="181"/>
      <c r="AH130" s="42"/>
      <c r="AI130" s="31">
        <v>29</v>
      </c>
      <c r="AJ130" s="35"/>
      <c r="AK130" s="276"/>
      <c r="AL130" s="586"/>
      <c r="AM130" s="8"/>
      <c r="AN130" s="35"/>
      <c r="AO130" s="35"/>
      <c r="AP130" s="35"/>
      <c r="AQ130" s="53"/>
      <c r="AR130" s="53"/>
      <c r="AS130" s="53"/>
      <c r="AT130" s="37"/>
      <c r="AU130" s="35"/>
      <c r="AV130" s="51"/>
      <c r="AW130" s="53"/>
      <c r="AX130" s="53"/>
      <c r="AY130" s="35"/>
      <c r="AZ130" s="34"/>
      <c r="BA130" s="31"/>
      <c r="BB130" s="74"/>
      <c r="BC130" s="737"/>
      <c r="BD130" s="738"/>
      <c r="BE130" s="739"/>
      <c r="BF130" s="164"/>
      <c r="BG130" s="164"/>
      <c r="BH130" s="31"/>
      <c r="BI130" s="31"/>
      <c r="BJ130" s="660"/>
      <c r="BK130" s="660"/>
      <c r="BL130" s="661"/>
      <c r="BM130" s="659"/>
      <c r="BN130" s="578"/>
      <c r="BO130" s="110"/>
      <c r="BP130" s="139"/>
      <c r="BQ130" s="654"/>
      <c r="BR130" s="638"/>
      <c r="BS130" s="110"/>
      <c r="BT130" s="110"/>
      <c r="BU130" s="202"/>
      <c r="BV130" s="201"/>
      <c r="BW130" s="439"/>
      <c r="BX130" s="201"/>
      <c r="BY130" s="557"/>
      <c r="BZ130" s="439"/>
      <c r="CA130" s="439"/>
      <c r="CB130" s="341"/>
      <c r="CC130" s="341"/>
      <c r="CD130" s="341"/>
      <c r="CE130" s="343"/>
      <c r="CF130" s="341"/>
      <c r="CG130" s="341"/>
      <c r="CH130" s="343"/>
      <c r="CI130" s="341"/>
      <c r="CJ130" s="341"/>
      <c r="CK130" s="343"/>
      <c r="CL130" s="344"/>
      <c r="CM130" s="341"/>
      <c r="CN130" s="343"/>
      <c r="CO130" s="341"/>
      <c r="CP130" s="341"/>
      <c r="CQ130" s="343"/>
      <c r="CR130" s="31"/>
      <c r="CS130" s="342"/>
      <c r="CT130" s="330"/>
      <c r="CU130" s="331"/>
      <c r="CV130" s="332"/>
      <c r="CW130" s="330"/>
      <c r="CX130" s="449">
        <v>44749</v>
      </c>
      <c r="CY130" s="496"/>
      <c r="CZ130" s="284">
        <f t="shared" si="415"/>
        <v>1491.6333333333334</v>
      </c>
      <c r="DA130" s="332" t="str">
        <f t="shared" si="397"/>
        <v>0</v>
      </c>
      <c r="DB130" s="450">
        <v>24</v>
      </c>
      <c r="DC130" s="169">
        <f t="shared" si="398"/>
        <v>24</v>
      </c>
      <c r="DD130" s="330"/>
      <c r="DE130" s="335">
        <f t="shared" ca="1" si="366"/>
        <v>43950</v>
      </c>
      <c r="DF130" s="332" t="str">
        <f t="shared" ca="1" si="411"/>
        <v>0</v>
      </c>
      <c r="DG130" s="330"/>
      <c r="DH130" s="348">
        <f t="shared" ca="1" si="367"/>
        <v>43950</v>
      </c>
      <c r="DI130" s="333" t="str">
        <f t="shared" ca="1" si="399"/>
        <v>0</v>
      </c>
      <c r="DJ130" s="334"/>
      <c r="DK130" s="348">
        <f t="shared" ca="1" si="368"/>
        <v>43950</v>
      </c>
      <c r="DL130" s="332" t="str">
        <f t="shared" ca="1" si="421"/>
        <v>0</v>
      </c>
      <c r="DM130" s="335">
        <v>43540</v>
      </c>
      <c r="DN130" s="335">
        <f t="shared" ca="1" si="369"/>
        <v>43950</v>
      </c>
      <c r="DO130" s="332">
        <f t="shared" ca="1" si="400"/>
        <v>410</v>
      </c>
      <c r="DP130" s="336"/>
      <c r="DQ130" s="336"/>
      <c r="DR130" s="332" t="str">
        <f t="shared" si="401"/>
        <v>0</v>
      </c>
      <c r="DS130" s="335"/>
      <c r="DT130" s="335">
        <f t="shared" ca="1" si="370"/>
        <v>43950</v>
      </c>
      <c r="DU130" s="332" t="str">
        <f t="shared" ca="1" si="402"/>
        <v>0</v>
      </c>
      <c r="DV130" s="335">
        <v>43617</v>
      </c>
      <c r="DW130" s="335">
        <f t="shared" ca="1" si="371"/>
        <v>43950</v>
      </c>
      <c r="DX130" s="332">
        <f t="shared" ca="1" si="403"/>
        <v>333</v>
      </c>
      <c r="DY130" s="336"/>
      <c r="DZ130" s="336"/>
      <c r="EA130" s="336"/>
      <c r="EB130" s="477">
        <f t="shared" si="350"/>
        <v>45480</v>
      </c>
      <c r="EC130" s="476">
        <f t="shared" si="410"/>
        <v>45480</v>
      </c>
      <c r="ED130" s="473">
        <f t="shared" si="417"/>
        <v>0</v>
      </c>
      <c r="EE130" s="605">
        <f t="shared" ca="1" si="372"/>
        <v>51</v>
      </c>
      <c r="EF130" s="476">
        <f t="shared" ca="1" si="373"/>
        <v>44680</v>
      </c>
      <c r="EG130" s="535"/>
      <c r="EH130" s="526"/>
      <c r="EI130" s="536">
        <f t="shared" si="388"/>
        <v>45605</v>
      </c>
      <c r="EJ130" s="295"/>
      <c r="EK130" s="534">
        <f t="shared" si="384"/>
        <v>45511</v>
      </c>
      <c r="EL130" s="476">
        <f t="shared" si="375"/>
        <v>45511</v>
      </c>
      <c r="EM130" s="368"/>
      <c r="EN130" s="471">
        <f t="shared" si="389"/>
        <v>0</v>
      </c>
      <c r="EO130" s="461"/>
      <c r="EP130" s="173">
        <f t="shared" si="352"/>
        <v>0</v>
      </c>
      <c r="EQ130" s="77"/>
      <c r="ER130" s="353"/>
      <c r="ES130" s="353"/>
      <c r="ET130" s="353"/>
      <c r="EU130" s="353"/>
      <c r="EV130" s="482"/>
      <c r="EW130" s="483" t="e">
        <f t="shared" si="361"/>
        <v>#DIV/0!</v>
      </c>
      <c r="EX130" s="350"/>
      <c r="EY130" s="362"/>
      <c r="EZ130" s="355"/>
      <c r="FA130" s="355"/>
      <c r="FB130" s="126">
        <f t="shared" ca="1" si="385"/>
        <v>44680</v>
      </c>
      <c r="FC130" s="80"/>
      <c r="FD130" s="80"/>
      <c r="FE130" s="80"/>
      <c r="FF130" s="80"/>
      <c r="FG130" s="80"/>
      <c r="FH130" s="31"/>
      <c r="FI130" s="194">
        <f t="shared" si="351"/>
        <v>45845</v>
      </c>
      <c r="FJ130" s="194"/>
      <c r="FK130" s="31"/>
      <c r="FL130" s="31"/>
      <c r="FM130" s="31"/>
      <c r="FN130" s="31"/>
      <c r="FO130" s="31"/>
      <c r="FP130" s="31"/>
      <c r="FQ130" s="31"/>
      <c r="FR130" s="31"/>
      <c r="FS130" s="31"/>
      <c r="FT130" s="31"/>
      <c r="FU130" s="31"/>
      <c r="FV130" s="31"/>
      <c r="FW130" s="31"/>
      <c r="FX130" s="529"/>
      <c r="FY130" s="652">
        <f t="shared" si="418"/>
        <v>0</v>
      </c>
      <c r="FZ130" s="550">
        <f t="shared" si="365"/>
        <v>0</v>
      </c>
      <c r="GA130" s="45">
        <f t="shared" si="412"/>
        <v>0</v>
      </c>
      <c r="GB130" s="602">
        <f t="shared" si="390"/>
        <v>0</v>
      </c>
      <c r="GC130" s="28" t="e">
        <f t="shared" si="419"/>
        <v>#DIV/0!</v>
      </c>
      <c r="GD130" s="28">
        <f t="shared" si="353"/>
        <v>0</v>
      </c>
      <c r="GE130" s="45"/>
      <c r="GF130" s="417"/>
      <c r="GG130" s="28">
        <f t="shared" si="413"/>
        <v>0</v>
      </c>
      <c r="GH130" s="45">
        <f t="shared" si="362"/>
        <v>0</v>
      </c>
      <c r="GI130" s="59"/>
      <c r="GJ130" s="59"/>
      <c r="GK130" s="408">
        <f t="shared" si="354"/>
        <v>0</v>
      </c>
      <c r="GL130" s="45"/>
      <c r="GM130" s="44"/>
      <c r="GN130" s="45"/>
      <c r="GO130" s="60" t="e">
        <f t="shared" si="420"/>
        <v>#DIV/0!</v>
      </c>
      <c r="GP130" s="45"/>
      <c r="GQ130" s="45"/>
      <c r="GR130" s="45"/>
      <c r="GS130" s="28"/>
      <c r="GT130" s="28"/>
      <c r="GU130" s="682"/>
      <c r="GV130" s="682"/>
      <c r="GW130" s="682"/>
      <c r="GX130" s="682"/>
      <c r="GY130" s="682"/>
      <c r="GZ130" s="681"/>
      <c r="HA130" s="682"/>
      <c r="HB130" s="682"/>
      <c r="HC130" s="45"/>
      <c r="HD130" s="602"/>
      <c r="HE130" s="608"/>
      <c r="HF130" s="602"/>
      <c r="HG130" s="602"/>
      <c r="HH130" s="608"/>
      <c r="HI130" s="602"/>
      <c r="HJ130" s="602"/>
      <c r="HK130" s="602"/>
      <c r="HL130" s="602"/>
      <c r="HM130" s="673"/>
      <c r="HN130" s="62"/>
      <c r="HO130" s="673"/>
      <c r="HP130" s="673"/>
      <c r="HQ130" s="539"/>
      <c r="HR130" s="539"/>
      <c r="HS130" s="539"/>
      <c r="HT130" s="539"/>
      <c r="HU130" s="539"/>
      <c r="HV130" s="673"/>
      <c r="HW130" s="673">
        <f t="shared" si="422"/>
        <v>0</v>
      </c>
      <c r="HX130" s="539"/>
    </row>
    <row r="131" spans="1:232 16317:16317" ht="15" customHeight="1">
      <c r="A131" s="510" t="s">
        <v>850</v>
      </c>
      <c r="B131" s="32" t="s">
        <v>195</v>
      </c>
      <c r="C131" s="32" t="s">
        <v>92</v>
      </c>
      <c r="D131" s="31">
        <v>2021</v>
      </c>
      <c r="E131" s="32"/>
      <c r="F131" s="31" t="s">
        <v>864</v>
      </c>
      <c r="G131" s="31"/>
      <c r="H131" s="32"/>
      <c r="I131" s="31"/>
      <c r="J131" s="32"/>
      <c r="K131" s="141"/>
      <c r="L131" s="114"/>
      <c r="M131" s="115"/>
      <c r="N131" s="116"/>
      <c r="O131" s="147"/>
      <c r="P131" s="147"/>
      <c r="Q131" s="147"/>
      <c r="R131" s="142"/>
      <c r="S131" s="142"/>
      <c r="T131" s="148"/>
      <c r="U131" s="148"/>
      <c r="V131" s="148"/>
      <c r="W131" s="142"/>
      <c r="X131" s="149"/>
      <c r="Y131" s="525"/>
      <c r="Z131" s="149"/>
      <c r="AA131" s="143"/>
      <c r="AB131" s="144"/>
      <c r="AC131" s="32" t="s">
        <v>308</v>
      </c>
      <c r="AD131" s="493">
        <f t="shared" si="416"/>
        <v>10</v>
      </c>
      <c r="AE131" s="494"/>
      <c r="AF131" s="42"/>
      <c r="AG131" s="181"/>
      <c r="AH131" s="42"/>
      <c r="AI131" s="31">
        <v>10</v>
      </c>
      <c r="AJ131" s="35"/>
      <c r="AK131" s="276"/>
      <c r="AL131" s="586"/>
      <c r="AM131" s="8"/>
      <c r="AN131" s="35"/>
      <c r="AO131" s="35"/>
      <c r="AP131" s="35"/>
      <c r="AQ131" s="53"/>
      <c r="AR131" s="53"/>
      <c r="AS131" s="53"/>
      <c r="AT131" s="37"/>
      <c r="AU131" s="35"/>
      <c r="AV131" s="51"/>
      <c r="AW131" s="53"/>
      <c r="AX131" s="53"/>
      <c r="AY131" s="35"/>
      <c r="AZ131" s="31"/>
      <c r="BA131" s="31"/>
      <c r="BB131" s="74"/>
      <c r="BC131" s="737"/>
      <c r="BD131" s="738"/>
      <c r="BE131" s="739"/>
      <c r="BF131" s="164"/>
      <c r="BG131" s="164"/>
      <c r="BH131" s="31"/>
      <c r="BI131" s="31"/>
      <c r="BJ131" s="660"/>
      <c r="BK131" s="660"/>
      <c r="BL131" s="661"/>
      <c r="BM131" s="659"/>
      <c r="BN131" s="578"/>
      <c r="BO131" s="110"/>
      <c r="BP131" s="139"/>
      <c r="BQ131" s="654"/>
      <c r="BR131" s="638"/>
      <c r="BS131" s="110"/>
      <c r="BT131" s="110"/>
      <c r="BU131" s="202"/>
      <c r="BV131" s="201"/>
      <c r="BW131" s="439"/>
      <c r="BX131" s="201"/>
      <c r="BY131" s="557"/>
      <c r="BZ131" s="439"/>
      <c r="CA131" s="439"/>
      <c r="CB131" s="341"/>
      <c r="CC131" s="341"/>
      <c r="CD131" s="341"/>
      <c r="CE131" s="343"/>
      <c r="CF131" s="341"/>
      <c r="CG131" s="341"/>
      <c r="CH131" s="343"/>
      <c r="CI131" s="341"/>
      <c r="CJ131" s="341"/>
      <c r="CK131" s="343"/>
      <c r="CL131" s="344"/>
      <c r="CM131" s="341"/>
      <c r="CN131" s="343"/>
      <c r="CO131" s="341"/>
      <c r="CP131" s="341"/>
      <c r="CQ131" s="343"/>
      <c r="CR131" s="31"/>
      <c r="CS131" s="342"/>
      <c r="CT131" s="330"/>
      <c r="CU131" s="331"/>
      <c r="CV131" s="332"/>
      <c r="CW131" s="330"/>
      <c r="CX131" s="449">
        <v>44750</v>
      </c>
      <c r="CY131" s="496"/>
      <c r="CZ131" s="284">
        <f t="shared" si="415"/>
        <v>1491.6666666666667</v>
      </c>
      <c r="DA131" s="332" t="str">
        <f t="shared" si="397"/>
        <v>0</v>
      </c>
      <c r="DB131" s="450">
        <v>25</v>
      </c>
      <c r="DC131" s="169">
        <f t="shared" si="398"/>
        <v>25</v>
      </c>
      <c r="DD131" s="330"/>
      <c r="DE131" s="335">
        <f t="shared" ca="1" si="366"/>
        <v>43950</v>
      </c>
      <c r="DF131" s="332" t="str">
        <f t="shared" ca="1" si="411"/>
        <v>0</v>
      </c>
      <c r="DG131" s="330"/>
      <c r="DH131" s="348">
        <f t="shared" ca="1" si="367"/>
        <v>43950</v>
      </c>
      <c r="DI131" s="333" t="str">
        <f t="shared" ca="1" si="399"/>
        <v>0</v>
      </c>
      <c r="DJ131" s="334"/>
      <c r="DK131" s="348">
        <f t="shared" ca="1" si="368"/>
        <v>43950</v>
      </c>
      <c r="DL131" s="332" t="str">
        <f t="shared" ca="1" si="421"/>
        <v>0</v>
      </c>
      <c r="DM131" s="335">
        <v>43541</v>
      </c>
      <c r="DN131" s="335">
        <f t="shared" ca="1" si="369"/>
        <v>43950</v>
      </c>
      <c r="DO131" s="332">
        <f t="shared" ca="1" si="400"/>
        <v>409</v>
      </c>
      <c r="DP131" s="336"/>
      <c r="DQ131" s="336"/>
      <c r="DR131" s="332" t="str">
        <f t="shared" si="401"/>
        <v>0</v>
      </c>
      <c r="DS131" s="335"/>
      <c r="DT131" s="335">
        <f t="shared" ca="1" si="370"/>
        <v>43950</v>
      </c>
      <c r="DU131" s="332" t="str">
        <f t="shared" ca="1" si="402"/>
        <v>0</v>
      </c>
      <c r="DV131" s="335">
        <v>43618</v>
      </c>
      <c r="DW131" s="335">
        <f t="shared" ca="1" si="371"/>
        <v>43950</v>
      </c>
      <c r="DX131" s="332">
        <f t="shared" ca="1" si="403"/>
        <v>332</v>
      </c>
      <c r="DY131" s="336"/>
      <c r="DZ131" s="336"/>
      <c r="EA131" s="336"/>
      <c r="EB131" s="477">
        <f t="shared" ref="EB131:EB152" si="423">DATE(YEAR(CX131),MONTH(CX131)+DB131,DAY(CX131))</f>
        <v>45512</v>
      </c>
      <c r="EC131" s="476">
        <f t="shared" si="410"/>
        <v>45512</v>
      </c>
      <c r="ED131" s="473">
        <f t="shared" si="417"/>
        <v>0</v>
      </c>
      <c r="EE131" s="605">
        <f t="shared" ca="1" si="372"/>
        <v>52.06666666666667</v>
      </c>
      <c r="EF131" s="476">
        <f t="shared" ca="1" si="373"/>
        <v>44680</v>
      </c>
      <c r="EG131" s="535"/>
      <c r="EH131" s="526"/>
      <c r="EI131" s="536">
        <f t="shared" si="388"/>
        <v>45636</v>
      </c>
      <c r="EJ131" s="295"/>
      <c r="EK131" s="534">
        <f t="shared" si="384"/>
        <v>45543</v>
      </c>
      <c r="EL131" s="476">
        <f t="shared" si="375"/>
        <v>45543</v>
      </c>
      <c r="EM131" s="368"/>
      <c r="EN131" s="471">
        <f t="shared" si="389"/>
        <v>0</v>
      </c>
      <c r="EO131" s="461"/>
      <c r="EP131" s="173">
        <f t="shared" si="352"/>
        <v>0</v>
      </c>
      <c r="EQ131" s="77"/>
      <c r="ER131" s="353"/>
      <c r="ES131" s="353"/>
      <c r="ET131" s="353"/>
      <c r="EU131" s="353"/>
      <c r="EV131" s="482"/>
      <c r="EW131" s="483" t="e">
        <f t="shared" si="361"/>
        <v>#DIV/0!</v>
      </c>
      <c r="EX131" s="350"/>
      <c r="EY131" s="362"/>
      <c r="EZ131" s="355"/>
      <c r="FA131" s="355"/>
      <c r="FB131" s="126">
        <f t="shared" ca="1" si="385"/>
        <v>44680</v>
      </c>
      <c r="FC131" s="80"/>
      <c r="FD131" s="80"/>
      <c r="FE131" s="80"/>
      <c r="FF131" s="80"/>
      <c r="FG131" s="80"/>
      <c r="FH131" s="31"/>
      <c r="FI131" s="194">
        <f t="shared" ref="FI131:FI152" si="424">DATE(YEAR(EC131)+1,MONTH(EC131),DAY(EC131))</f>
        <v>45877</v>
      </c>
      <c r="FJ131" s="194"/>
      <c r="FK131" s="31"/>
      <c r="FL131" s="31"/>
      <c r="FM131" s="31"/>
      <c r="FN131" s="31"/>
      <c r="FO131" s="31"/>
      <c r="FP131" s="31"/>
      <c r="FQ131" s="31"/>
      <c r="FR131" s="31"/>
      <c r="FS131" s="31"/>
      <c r="FT131" s="31"/>
      <c r="FU131" s="31"/>
      <c r="FV131" s="31"/>
      <c r="FW131" s="31"/>
      <c r="FX131" s="529"/>
      <c r="FY131" s="652">
        <f t="shared" si="418"/>
        <v>0</v>
      </c>
      <c r="FZ131" s="550">
        <f t="shared" si="365"/>
        <v>0</v>
      </c>
      <c r="GA131" s="45">
        <f t="shared" si="412"/>
        <v>0</v>
      </c>
      <c r="GB131" s="602">
        <f t="shared" si="390"/>
        <v>0</v>
      </c>
      <c r="GC131" s="28" t="e">
        <f t="shared" si="419"/>
        <v>#DIV/0!</v>
      </c>
      <c r="GD131" s="28">
        <f t="shared" si="353"/>
        <v>0</v>
      </c>
      <c r="GE131" s="45"/>
      <c r="GF131" s="417"/>
      <c r="GG131" s="28">
        <f t="shared" si="413"/>
        <v>0</v>
      </c>
      <c r="GH131" s="45">
        <f t="shared" si="362"/>
        <v>0</v>
      </c>
      <c r="GI131" s="59"/>
      <c r="GJ131" s="59"/>
      <c r="GK131" s="408">
        <f t="shared" si="354"/>
        <v>0</v>
      </c>
      <c r="GL131" s="45"/>
      <c r="GM131" s="44"/>
      <c r="GN131" s="45"/>
      <c r="GO131" s="60" t="e">
        <f t="shared" si="420"/>
        <v>#DIV/0!</v>
      </c>
      <c r="GP131" s="45"/>
      <c r="GQ131" s="45"/>
      <c r="GR131" s="45"/>
      <c r="GS131" s="28"/>
      <c r="GT131" s="28"/>
      <c r="GU131" s="682"/>
      <c r="GV131" s="682"/>
      <c r="GW131" s="682"/>
      <c r="GX131" s="682"/>
      <c r="GY131" s="682"/>
      <c r="GZ131" s="681"/>
      <c r="HA131" s="682"/>
      <c r="HB131" s="682"/>
      <c r="HC131" s="45"/>
      <c r="HD131" s="602"/>
      <c r="HE131" s="608"/>
      <c r="HF131" s="602"/>
      <c r="HG131" s="602"/>
      <c r="HH131" s="608"/>
      <c r="HI131" s="602"/>
      <c r="HJ131" s="602"/>
      <c r="HK131" s="602"/>
      <c r="HL131" s="602"/>
      <c r="HM131" s="673"/>
      <c r="HN131" s="62"/>
      <c r="HO131" s="673"/>
      <c r="HP131" s="673"/>
      <c r="HQ131" s="539"/>
      <c r="HR131" s="539"/>
      <c r="HS131" s="539"/>
      <c r="HT131" s="539"/>
      <c r="HU131" s="539"/>
      <c r="HV131" s="673"/>
      <c r="HW131" s="673">
        <f t="shared" si="422"/>
        <v>0</v>
      </c>
      <c r="HX131" s="539"/>
    </row>
    <row r="132" spans="1:232 16317:16317" ht="15" customHeight="1">
      <c r="A132" s="510" t="s">
        <v>851</v>
      </c>
      <c r="B132" s="32" t="s">
        <v>21</v>
      </c>
      <c r="C132" s="32" t="s">
        <v>90</v>
      </c>
      <c r="D132" s="31">
        <v>2021</v>
      </c>
      <c r="E132" s="32"/>
      <c r="F132" s="31" t="s">
        <v>864</v>
      </c>
      <c r="G132" s="31"/>
      <c r="H132" s="32"/>
      <c r="I132" s="31"/>
      <c r="J132" s="32"/>
      <c r="K132" s="141"/>
      <c r="L132" s="114"/>
      <c r="M132" s="115"/>
      <c r="N132" s="116"/>
      <c r="O132" s="147"/>
      <c r="P132" s="142"/>
      <c r="Q132" s="142"/>
      <c r="R132" s="142">
        <f t="shared" ref="R132:R152" si="425">P132/AD132</f>
        <v>0</v>
      </c>
      <c r="S132" s="142" t="e">
        <f t="shared" ref="S132:S150" si="426">P132/O132</f>
        <v>#DIV/0!</v>
      </c>
      <c r="T132" s="148" t="e">
        <f t="shared" ref="T132:T150" si="427">Q132/O132</f>
        <v>#DIV/0!</v>
      </c>
      <c r="U132" s="148"/>
      <c r="V132" s="148">
        <f t="shared" ref="V132:V152" si="428">Q132/AD132</f>
        <v>0</v>
      </c>
      <c r="W132" s="142">
        <f t="shared" ref="W132:W150" si="429">O132/AD132</f>
        <v>0</v>
      </c>
      <c r="X132" s="149"/>
      <c r="Y132" s="525"/>
      <c r="Z132" s="149"/>
      <c r="AA132" s="143"/>
      <c r="AB132" s="144"/>
      <c r="AC132" s="32" t="s">
        <v>308</v>
      </c>
      <c r="AD132" s="493">
        <f t="shared" si="416"/>
        <v>86</v>
      </c>
      <c r="AE132" s="494"/>
      <c r="AF132" s="42"/>
      <c r="AG132" s="181"/>
      <c r="AH132" s="42"/>
      <c r="AI132" s="31">
        <v>86</v>
      </c>
      <c r="AJ132" s="35"/>
      <c r="AK132" s="276"/>
      <c r="AL132" s="586"/>
      <c r="AM132" s="8"/>
      <c r="AN132" s="35"/>
      <c r="AO132" s="35"/>
      <c r="AP132" s="35"/>
      <c r="AQ132" s="53"/>
      <c r="AR132" s="53"/>
      <c r="AS132" s="53"/>
      <c r="AT132" s="37"/>
      <c r="AU132" s="35"/>
      <c r="AV132" s="51"/>
      <c r="AW132" s="53"/>
      <c r="AX132" s="53"/>
      <c r="AY132" s="35"/>
      <c r="AZ132" s="34"/>
      <c r="BA132" s="31"/>
      <c r="BB132" s="74"/>
      <c r="BC132" s="737"/>
      <c r="BD132" s="738"/>
      <c r="BE132" s="739"/>
      <c r="BF132" s="164"/>
      <c r="BG132" s="164"/>
      <c r="BH132" s="31"/>
      <c r="BI132" s="31"/>
      <c r="BJ132" s="660"/>
      <c r="BK132" s="660"/>
      <c r="BL132" s="661"/>
      <c r="BM132" s="659"/>
      <c r="BN132" s="578"/>
      <c r="BO132" s="110"/>
      <c r="BP132" s="139"/>
      <c r="BQ132" s="654"/>
      <c r="BR132" s="638"/>
      <c r="BS132" s="110"/>
      <c r="BT132" s="110"/>
      <c r="BU132" s="202"/>
      <c r="BV132" s="201"/>
      <c r="BW132" s="439"/>
      <c r="BX132" s="201"/>
      <c r="BY132" s="557"/>
      <c r="BZ132" s="439"/>
      <c r="CA132" s="439"/>
      <c r="CB132" s="341"/>
      <c r="CC132" s="341"/>
      <c r="CD132" s="341"/>
      <c r="CE132" s="343"/>
      <c r="CF132" s="341"/>
      <c r="CG132" s="341"/>
      <c r="CH132" s="343"/>
      <c r="CI132" s="341"/>
      <c r="CJ132" s="341"/>
      <c r="CK132" s="343"/>
      <c r="CL132" s="344"/>
      <c r="CM132" s="341"/>
      <c r="CN132" s="343"/>
      <c r="CO132" s="341"/>
      <c r="CP132" s="341"/>
      <c r="CQ132" s="343"/>
      <c r="CR132" s="31"/>
      <c r="CS132" s="342"/>
      <c r="CT132" s="330"/>
      <c r="CU132" s="331"/>
      <c r="CV132" s="332"/>
      <c r="CW132" s="330"/>
      <c r="CX132" s="449">
        <v>44751</v>
      </c>
      <c r="CY132" s="496"/>
      <c r="CZ132" s="284">
        <f t="shared" si="415"/>
        <v>1491.7</v>
      </c>
      <c r="DA132" s="332" t="str">
        <f t="shared" si="397"/>
        <v>0</v>
      </c>
      <c r="DB132" s="450">
        <v>26</v>
      </c>
      <c r="DC132" s="169">
        <f t="shared" si="398"/>
        <v>26</v>
      </c>
      <c r="DD132" s="330"/>
      <c r="DE132" s="335">
        <f t="shared" ca="1" si="366"/>
        <v>43950</v>
      </c>
      <c r="DF132" s="332" t="str">
        <f t="shared" ca="1" si="411"/>
        <v>0</v>
      </c>
      <c r="DG132" s="330"/>
      <c r="DH132" s="348">
        <f t="shared" ca="1" si="367"/>
        <v>43950</v>
      </c>
      <c r="DI132" s="333" t="str">
        <f t="shared" ca="1" si="399"/>
        <v>0</v>
      </c>
      <c r="DJ132" s="334"/>
      <c r="DK132" s="348">
        <f t="shared" ca="1" si="368"/>
        <v>43950</v>
      </c>
      <c r="DL132" s="332" t="str">
        <f t="shared" ca="1" si="421"/>
        <v>0</v>
      </c>
      <c r="DM132" s="335">
        <v>43542</v>
      </c>
      <c r="DN132" s="335">
        <f t="shared" ca="1" si="369"/>
        <v>43950</v>
      </c>
      <c r="DO132" s="332">
        <f t="shared" ca="1" si="400"/>
        <v>408</v>
      </c>
      <c r="DP132" s="336"/>
      <c r="DQ132" s="336"/>
      <c r="DR132" s="332" t="str">
        <f t="shared" si="401"/>
        <v>0</v>
      </c>
      <c r="DS132" s="335"/>
      <c r="DT132" s="335">
        <f t="shared" ca="1" si="370"/>
        <v>43950</v>
      </c>
      <c r="DU132" s="332" t="str">
        <f t="shared" ca="1" si="402"/>
        <v>0</v>
      </c>
      <c r="DV132" s="335">
        <v>43619</v>
      </c>
      <c r="DW132" s="335">
        <f t="shared" ca="1" si="371"/>
        <v>43950</v>
      </c>
      <c r="DX132" s="332">
        <f t="shared" ca="1" si="403"/>
        <v>331</v>
      </c>
      <c r="DY132" s="336"/>
      <c r="DZ132" s="336"/>
      <c r="EA132" s="336"/>
      <c r="EB132" s="477">
        <f t="shared" si="423"/>
        <v>45544</v>
      </c>
      <c r="EC132" s="476">
        <f t="shared" si="410"/>
        <v>45544</v>
      </c>
      <c r="ED132" s="473">
        <f t="shared" si="417"/>
        <v>0</v>
      </c>
      <c r="EE132" s="605">
        <f t="shared" ca="1" si="372"/>
        <v>53.133333333333333</v>
      </c>
      <c r="EF132" s="476">
        <f t="shared" ca="1" si="373"/>
        <v>44680</v>
      </c>
      <c r="EG132" s="535"/>
      <c r="EH132" s="526"/>
      <c r="EI132" s="536">
        <f t="shared" si="388"/>
        <v>45668</v>
      </c>
      <c r="EJ132" s="295"/>
      <c r="EK132" s="534">
        <f t="shared" si="384"/>
        <v>45574</v>
      </c>
      <c r="EL132" s="476">
        <f t="shared" si="375"/>
        <v>45574</v>
      </c>
      <c r="EM132" s="368"/>
      <c r="EN132" s="471">
        <f t="shared" si="389"/>
        <v>0</v>
      </c>
      <c r="EO132" s="461"/>
      <c r="EP132" s="173">
        <f t="shared" ref="EP132:EP163" si="430">EO132*EN132</f>
        <v>0</v>
      </c>
      <c r="EQ132" s="77"/>
      <c r="ER132" s="353"/>
      <c r="ES132" s="353"/>
      <c r="ET132" s="353"/>
      <c r="EU132" s="353"/>
      <c r="EV132" s="482"/>
      <c r="EW132" s="483" t="e">
        <f t="shared" si="361"/>
        <v>#DIV/0!</v>
      </c>
      <c r="EX132" s="350"/>
      <c r="EY132" s="362"/>
      <c r="EZ132" s="355"/>
      <c r="FA132" s="355"/>
      <c r="FB132" s="126">
        <f t="shared" ca="1" si="385"/>
        <v>44680</v>
      </c>
      <c r="FC132" s="80"/>
      <c r="FD132" s="80"/>
      <c r="FE132" s="80"/>
      <c r="FF132" s="80"/>
      <c r="FG132" s="80"/>
      <c r="FH132" s="31"/>
      <c r="FI132" s="194">
        <f t="shared" si="424"/>
        <v>45909</v>
      </c>
      <c r="FJ132" s="194"/>
      <c r="FK132" s="31"/>
      <c r="FL132" s="31"/>
      <c r="FM132" s="31"/>
      <c r="FN132" s="31"/>
      <c r="FO132" s="31"/>
      <c r="FP132" s="31"/>
      <c r="FQ132" s="31"/>
      <c r="FR132" s="31"/>
      <c r="FS132" s="31"/>
      <c r="FT132" s="31"/>
      <c r="FU132" s="31"/>
      <c r="FV132" s="31"/>
      <c r="FW132" s="31"/>
      <c r="FX132" s="529"/>
      <c r="FY132" s="652">
        <f t="shared" si="418"/>
        <v>0</v>
      </c>
      <c r="FZ132" s="550">
        <f t="shared" si="365"/>
        <v>0</v>
      </c>
      <c r="GA132" s="45">
        <f t="shared" si="412"/>
        <v>0</v>
      </c>
      <c r="GB132" s="602">
        <f t="shared" si="390"/>
        <v>0</v>
      </c>
      <c r="GC132" s="28" t="e">
        <f t="shared" si="419"/>
        <v>#DIV/0!</v>
      </c>
      <c r="GD132" s="28">
        <f t="shared" ref="GD132:GD137" si="431">FZ132/AD132</f>
        <v>0</v>
      </c>
      <c r="GE132" s="45"/>
      <c r="GF132" s="417"/>
      <c r="GG132" s="28">
        <f t="shared" si="413"/>
        <v>0</v>
      </c>
      <c r="GH132" s="45">
        <f t="shared" si="362"/>
        <v>0</v>
      </c>
      <c r="GI132" s="59"/>
      <c r="GJ132" s="59"/>
      <c r="GK132" s="408">
        <f t="shared" ref="GK132:GK152" si="432">GH132/AD132</f>
        <v>0</v>
      </c>
      <c r="GL132" s="45"/>
      <c r="GM132" s="44"/>
      <c r="GN132" s="45"/>
      <c r="GO132" s="60" t="e">
        <f t="shared" si="420"/>
        <v>#DIV/0!</v>
      </c>
      <c r="GP132" s="45"/>
      <c r="GQ132" s="45"/>
      <c r="GR132" s="45"/>
      <c r="GS132" s="28"/>
      <c r="GT132" s="28"/>
      <c r="GU132" s="682"/>
      <c r="GV132" s="682"/>
      <c r="GW132" s="682"/>
      <c r="GX132" s="682"/>
      <c r="GY132" s="682"/>
      <c r="GZ132" s="681"/>
      <c r="HA132" s="682"/>
      <c r="HB132" s="682"/>
      <c r="HC132" s="45"/>
      <c r="HD132" s="602"/>
      <c r="HE132" s="608"/>
      <c r="HF132" s="602"/>
      <c r="HG132" s="602"/>
      <c r="HH132" s="608"/>
      <c r="HI132" s="602"/>
      <c r="HJ132" s="602"/>
      <c r="HK132" s="602"/>
      <c r="HL132" s="602"/>
      <c r="HM132" s="673"/>
      <c r="HN132" s="62"/>
      <c r="HO132" s="673"/>
      <c r="HP132" s="673"/>
      <c r="HQ132" s="539"/>
      <c r="HR132" s="539"/>
      <c r="HS132" s="539"/>
      <c r="HT132" s="539"/>
      <c r="HU132" s="539"/>
      <c r="HV132" s="673"/>
      <c r="HW132" s="673">
        <f t="shared" si="422"/>
        <v>0</v>
      </c>
      <c r="HX132" s="539"/>
    </row>
    <row r="133" spans="1:232 16317:16317" ht="15" customHeight="1">
      <c r="A133" s="821" t="s">
        <v>440</v>
      </c>
      <c r="B133" s="31" t="s">
        <v>21</v>
      </c>
      <c r="C133" s="31" t="s">
        <v>90</v>
      </c>
      <c r="D133" s="31">
        <v>2022</v>
      </c>
      <c r="E133" s="31"/>
      <c r="F133" s="31"/>
      <c r="G133" s="31"/>
      <c r="H133" s="33" t="s">
        <v>287</v>
      </c>
      <c r="I133" s="31"/>
      <c r="J133" s="31" t="s">
        <v>656</v>
      </c>
      <c r="K133" s="180" t="s">
        <v>655</v>
      </c>
      <c r="L133" s="114"/>
      <c r="M133" s="115"/>
      <c r="N133" s="116"/>
      <c r="O133" s="142">
        <v>3115</v>
      </c>
      <c r="P133" s="142"/>
      <c r="Q133" s="142"/>
      <c r="R133" s="142">
        <f t="shared" si="425"/>
        <v>0</v>
      </c>
      <c r="S133" s="142">
        <f t="shared" si="426"/>
        <v>0</v>
      </c>
      <c r="T133" s="148">
        <f t="shared" si="427"/>
        <v>0</v>
      </c>
      <c r="U133" s="148" t="e">
        <f t="shared" ref="U133:U150" si="433">Q133/AK133</f>
        <v>#DIV/0!</v>
      </c>
      <c r="V133" s="148">
        <f t="shared" si="428"/>
        <v>0</v>
      </c>
      <c r="W133" s="142">
        <f t="shared" si="429"/>
        <v>77.875</v>
      </c>
      <c r="X133" s="143"/>
      <c r="Y133" s="525">
        <f t="shared" ref="Y133:Y152" si="434">10000*AD133/O133</f>
        <v>128.41091492776886</v>
      </c>
      <c r="Z133" s="143" t="s">
        <v>147</v>
      </c>
      <c r="AA133" s="143">
        <v>490</v>
      </c>
      <c r="AB133" s="144">
        <v>0.1</v>
      </c>
      <c r="AC133" s="31" t="s">
        <v>10</v>
      </c>
      <c r="AD133" s="493">
        <f t="shared" si="416"/>
        <v>40</v>
      </c>
      <c r="AE133" s="494">
        <f t="shared" ref="AE133:AE152" si="435">AD133-AI133</f>
        <v>40</v>
      </c>
      <c r="AF133" s="42"/>
      <c r="AG133" s="31">
        <v>40</v>
      </c>
      <c r="AH133" s="42"/>
      <c r="AI133" s="42"/>
      <c r="AJ133" s="797"/>
      <c r="AK133" s="276"/>
      <c r="AL133" s="586">
        <f t="shared" ref="AL133:AL152" si="436">AJ133/AD133</f>
        <v>0</v>
      </c>
      <c r="AM133" s="8">
        <f t="shared" ref="AM133:AM152" si="437">AK133/AD133</f>
        <v>0</v>
      </c>
      <c r="AN133" s="35"/>
      <c r="AO133" s="35"/>
      <c r="AP133" s="35"/>
      <c r="AQ133" s="53"/>
      <c r="AR133" s="53"/>
      <c r="AS133" s="53"/>
      <c r="AT133" s="53"/>
      <c r="AU133" s="53"/>
      <c r="AV133" s="35"/>
      <c r="AW133" s="51"/>
      <c r="AX133" s="53"/>
      <c r="AY133" s="35"/>
      <c r="AZ133" s="34"/>
      <c r="BA133" s="31"/>
      <c r="BB133" s="31"/>
      <c r="BC133" s="31"/>
      <c r="BD133" s="31"/>
      <c r="BE133" s="31"/>
      <c r="BF133" s="165"/>
      <c r="BG133" s="165"/>
      <c r="BH133" s="126"/>
      <c r="BI133" s="126"/>
      <c r="BJ133" s="660"/>
      <c r="BK133" s="660"/>
      <c r="BL133" s="661"/>
      <c r="BM133" s="659">
        <f t="shared" ref="BM133:BM152" si="438">(DATEDIF(BJ133,BK133,"d"))/30</f>
        <v>0</v>
      </c>
      <c r="BN133" s="578" t="s">
        <v>235</v>
      </c>
      <c r="BO133" s="110"/>
      <c r="BP133" s="139"/>
      <c r="BQ133" s="654">
        <f>(DATEDIF(BO133,BP133,"d"))/30</f>
        <v>0</v>
      </c>
      <c r="BR133" s="638"/>
      <c r="BS133" s="110"/>
      <c r="BT133" s="110"/>
      <c r="BU133" s="202"/>
      <c r="BV133" s="201">
        <f t="shared" ref="BV133:BV152" si="439">DATE(YEAR(BU133),MONTH(BU133)+24,DAY(BU133))</f>
        <v>731</v>
      </c>
      <c r="BW133" s="439"/>
      <c r="BX133" s="201" t="str">
        <f t="shared" ref="BX133:BX152" si="440">IF(EL133&gt;BV133,"oui","non")</f>
        <v>oui</v>
      </c>
      <c r="BY133" s="557">
        <f t="shared" ref="BY133:BY152" si="441">(BV133-EL133)/30</f>
        <v>-1510.7666666666667</v>
      </c>
      <c r="BZ133" s="439">
        <f t="shared" ref="BZ133:BZ152" si="442">IF((BY133*EO133)&lt;0,"0",BY133*EO133)</f>
        <v>0</v>
      </c>
      <c r="CA133" s="439">
        <f t="shared" ref="CA133:CA152" si="443">BW133-BZ133</f>
        <v>0</v>
      </c>
      <c r="CB133" s="339"/>
      <c r="CC133" s="341"/>
      <c r="CD133" s="341"/>
      <c r="CE133" s="343" t="str">
        <f t="shared" ref="CE133:CE152" si="444">IF(AND(CC133&gt;0,CD133&gt;0),CD133-CC133,"0")</f>
        <v>0</v>
      </c>
      <c r="CF133" s="341"/>
      <c r="CG133" s="341"/>
      <c r="CH133" s="343" t="str">
        <f t="shared" ref="CH133:CH152" si="445">IF(AND(CF133&gt;0,CG133&gt;0),CG133-CF133,"0")</f>
        <v>0</v>
      </c>
      <c r="CI133" s="341"/>
      <c r="CJ133" s="341"/>
      <c r="CK133" s="343" t="str">
        <f t="shared" ref="CK133:CK152" si="446">IF(AND(CI133&gt;0,CJ133&gt;0),CJ133-CI133,"0")</f>
        <v>0</v>
      </c>
      <c r="CL133" s="341"/>
      <c r="CM133" s="341"/>
      <c r="CN133" s="343" t="str">
        <f t="shared" ref="CN133:CN152" si="447">IF(AND(CL133&gt;0,CM133&gt;0),CM133-CL133,"0")</f>
        <v>0</v>
      </c>
      <c r="CO133" s="341"/>
      <c r="CP133" s="341"/>
      <c r="CQ133" s="343" t="str">
        <f t="shared" ref="CQ133:CQ152" si="448">IF(AND(CO133&gt;0,CP133&gt;0),CP133-CO133,"0")</f>
        <v>0</v>
      </c>
      <c r="CR133" s="290"/>
      <c r="CS133" s="345"/>
      <c r="CT133" s="330"/>
      <c r="CU133" s="331"/>
      <c r="CV133" s="332" t="str">
        <f>IF(AND(CT133&gt;0,CU133&gt;0),CU133-CT133,"0")</f>
        <v>0</v>
      </c>
      <c r="CW133" s="330"/>
      <c r="CX133" s="449">
        <v>44743</v>
      </c>
      <c r="CY133" s="233"/>
      <c r="CZ133" s="284">
        <f t="shared" si="415"/>
        <v>1491.4333333333334</v>
      </c>
      <c r="DA133" s="332" t="str">
        <f t="shared" si="397"/>
        <v>0</v>
      </c>
      <c r="DB133" s="450">
        <v>39</v>
      </c>
      <c r="DC133" s="169">
        <f t="shared" si="398"/>
        <v>42</v>
      </c>
      <c r="DD133" s="330"/>
      <c r="DE133" s="335">
        <f t="shared" ca="1" si="366"/>
        <v>43950</v>
      </c>
      <c r="DF133" s="332" t="str">
        <f t="shared" ca="1" si="411"/>
        <v>0</v>
      </c>
      <c r="DG133" s="330"/>
      <c r="DH133" s="348">
        <f t="shared" ca="1" si="367"/>
        <v>43950</v>
      </c>
      <c r="DI133" s="333" t="str">
        <f t="shared" ca="1" si="399"/>
        <v>0</v>
      </c>
      <c r="DJ133" s="334"/>
      <c r="DK133" s="348">
        <f t="shared" ca="1" si="368"/>
        <v>43950</v>
      </c>
      <c r="DL133" s="332" t="str">
        <f t="shared" ca="1" si="421"/>
        <v>0</v>
      </c>
      <c r="DM133" s="335">
        <v>43539</v>
      </c>
      <c r="DN133" s="335">
        <f t="shared" ca="1" si="369"/>
        <v>43950</v>
      </c>
      <c r="DO133" s="332">
        <f t="shared" ca="1" si="400"/>
        <v>411</v>
      </c>
      <c r="DP133" s="336"/>
      <c r="DQ133" s="336"/>
      <c r="DR133" s="332" t="str">
        <f t="shared" si="401"/>
        <v>0</v>
      </c>
      <c r="DS133" s="335"/>
      <c r="DT133" s="335">
        <f t="shared" ca="1" si="370"/>
        <v>43950</v>
      </c>
      <c r="DU133" s="332" t="str">
        <f t="shared" ca="1" si="402"/>
        <v>0</v>
      </c>
      <c r="DV133" s="335">
        <v>43616</v>
      </c>
      <c r="DW133" s="335">
        <f t="shared" ca="1" si="371"/>
        <v>43950</v>
      </c>
      <c r="DX133" s="332">
        <f t="shared" ca="1" si="403"/>
        <v>334</v>
      </c>
      <c r="DY133" s="335"/>
      <c r="DZ133" s="335"/>
      <c r="EA133" s="335"/>
      <c r="EB133" s="477">
        <f t="shared" si="423"/>
        <v>45931</v>
      </c>
      <c r="EC133" s="476">
        <f>DATE(YEAR(EB133),MONTH(EB133)+3,DAY(EB133))</f>
        <v>46023</v>
      </c>
      <c r="ED133" s="473">
        <f t="shared" si="417"/>
        <v>3.0666666666666669</v>
      </c>
      <c r="EE133" s="605">
        <f t="shared" ca="1" si="372"/>
        <v>69.099999999999994</v>
      </c>
      <c r="EF133" s="476">
        <f t="shared" ca="1" si="373"/>
        <v>44680</v>
      </c>
      <c r="EG133" s="535"/>
      <c r="EH133" s="526"/>
      <c r="EI133" s="536">
        <f t="shared" si="388"/>
        <v>46145</v>
      </c>
      <c r="EJ133" s="295"/>
      <c r="EK133" s="534">
        <f t="shared" si="384"/>
        <v>45962</v>
      </c>
      <c r="EL133" s="476">
        <f t="shared" si="375"/>
        <v>46054</v>
      </c>
      <c r="EM133" s="368"/>
      <c r="EN133" s="471">
        <f t="shared" si="389"/>
        <v>3.0666666666666669</v>
      </c>
      <c r="EO133" s="461"/>
      <c r="EP133" s="173">
        <f t="shared" si="430"/>
        <v>0</v>
      </c>
      <c r="EQ133" s="77"/>
      <c r="ER133" s="353"/>
      <c r="ES133" s="353">
        <v>0</v>
      </c>
      <c r="ET133" s="353"/>
      <c r="EU133" s="353"/>
      <c r="EV133" s="482"/>
      <c r="EW133" s="483" t="e">
        <f t="shared" ref="EW133:EW164" si="449">EV133/FZ133</f>
        <v>#DIV/0!</v>
      </c>
      <c r="EX133" s="350"/>
      <c r="EY133" s="362"/>
      <c r="EZ133" s="355"/>
      <c r="FA133" s="355"/>
      <c r="FB133" s="126">
        <f t="shared" ca="1" si="385"/>
        <v>44680</v>
      </c>
      <c r="FC133" s="80"/>
      <c r="FD133" s="80"/>
      <c r="FE133" s="80"/>
      <c r="FF133" s="80"/>
      <c r="FG133" s="80"/>
      <c r="FH133" s="31"/>
      <c r="FI133" s="194">
        <f t="shared" si="424"/>
        <v>46388</v>
      </c>
      <c r="FJ133" s="194"/>
      <c r="FK133" s="31"/>
      <c r="FL133" s="31"/>
      <c r="FM133" s="31"/>
      <c r="FN133" s="31"/>
      <c r="FO133" s="31"/>
      <c r="FP133" s="31"/>
      <c r="FQ133" s="31"/>
      <c r="FR133" s="31"/>
      <c r="FS133" s="31"/>
      <c r="FT133" s="31"/>
      <c r="FU133" s="31"/>
      <c r="FV133" s="31"/>
      <c r="FW133" s="31"/>
      <c r="FX133" s="529"/>
      <c r="FY133" s="652">
        <f t="shared" si="418"/>
        <v>0</v>
      </c>
      <c r="FZ133" s="550">
        <f t="shared" si="365"/>
        <v>0</v>
      </c>
      <c r="GA133" s="45">
        <f t="shared" si="412"/>
        <v>0</v>
      </c>
      <c r="GB133" s="602">
        <f t="shared" si="390"/>
        <v>0</v>
      </c>
      <c r="GC133" s="28" t="e">
        <f t="shared" si="419"/>
        <v>#DIV/0!</v>
      </c>
      <c r="GD133" s="28">
        <f t="shared" si="431"/>
        <v>0</v>
      </c>
      <c r="GE133" s="45"/>
      <c r="GF133" s="417"/>
      <c r="GG133" s="28">
        <f t="shared" si="413"/>
        <v>0</v>
      </c>
      <c r="GH133" s="45">
        <f t="shared" si="362"/>
        <v>0</v>
      </c>
      <c r="GI133" s="59"/>
      <c r="GJ133" s="59"/>
      <c r="GK133" s="408">
        <f t="shared" si="432"/>
        <v>0</v>
      </c>
      <c r="GL133" s="45"/>
      <c r="GM133" s="45"/>
      <c r="GN133" s="45"/>
      <c r="GO133" s="60" t="e">
        <f t="shared" si="420"/>
        <v>#DIV/0!</v>
      </c>
      <c r="GP133" s="45"/>
      <c r="GQ133" s="45"/>
      <c r="GR133" s="45"/>
      <c r="GS133" s="28">
        <f t="shared" ref="GS133:GS152" si="450">GM133/AD133</f>
        <v>0</v>
      </c>
      <c r="GT133" s="28">
        <f t="shared" ref="GT133:GT152" si="451">(GE133+GM133)/AD133</f>
        <v>0</v>
      </c>
      <c r="GU133" s="682"/>
      <c r="GV133" s="682"/>
      <c r="GW133" s="682" t="e">
        <f>(#REF!+#REF!+GV133)/AD133</f>
        <v>#REF!</v>
      </c>
      <c r="GX133" s="682"/>
      <c r="GY133" s="682">
        <f t="shared" ref="GY133:GY152" si="452">(GE133+GM133+GV133+GX133)/AD133</f>
        <v>0</v>
      </c>
      <c r="GZ133" s="681" t="e">
        <f>(GE133+GM133+GV133+GX133)/(GU133+FZ133-HA133)</f>
        <v>#DIV/0!</v>
      </c>
      <c r="HA133" s="682"/>
      <c r="HB133" s="682"/>
      <c r="HC133" s="45">
        <f>ES133</f>
        <v>0</v>
      </c>
      <c r="HD133" s="602"/>
      <c r="HE133" s="608" t="e">
        <f t="shared" ref="HE133:HE152" si="453">HD133/FZ133</f>
        <v>#DIV/0!</v>
      </c>
      <c r="HF133" s="602">
        <f t="shared" ref="HF133:HF152" si="454">FZ133-HD133</f>
        <v>0</v>
      </c>
      <c r="HG133" s="602">
        <f t="shared" ref="HG133:HG144" ca="1" si="455">IF(EE133&lt;DATEDIF(TODAY(),$HG$1,"M"),HF133,(HF133/EE133*DATEDIF(TODAY(),$HG$1,"M")))</f>
        <v>0</v>
      </c>
      <c r="HH133" s="608" t="e">
        <f ca="1">(HD133+HG133)/FZ133</f>
        <v>#DIV/0!</v>
      </c>
      <c r="HI133" s="602"/>
      <c r="HJ133" s="602">
        <f>GB133-HI133</f>
        <v>0</v>
      </c>
      <c r="HK133" s="602" t="e">
        <f>HI133/GB133</f>
        <v>#DIV/0!</v>
      </c>
      <c r="HL133" s="602"/>
      <c r="HM133" s="673"/>
      <c r="HN133" s="62"/>
      <c r="HO133" s="673"/>
      <c r="HP133" s="673">
        <f t="shared" ref="HP133:HP152" si="456">HQ133+HR133+HS133+HT133+HU133</f>
        <v>0</v>
      </c>
      <c r="HQ133" s="539"/>
      <c r="HR133" s="539"/>
      <c r="HS133" s="539"/>
      <c r="HT133" s="539"/>
      <c r="HU133" s="539"/>
      <c r="HV133" s="673"/>
      <c r="HW133" s="673">
        <f t="shared" si="422"/>
        <v>0</v>
      </c>
      <c r="HX133" s="539"/>
    </row>
    <row r="134" spans="1:232 16317:16317" ht="15" hidden="1" customHeight="1">
      <c r="A134" s="63" t="s">
        <v>233</v>
      </c>
      <c r="B134" s="31" t="s">
        <v>21</v>
      </c>
      <c r="C134" s="31" t="s">
        <v>90</v>
      </c>
      <c r="D134" s="31">
        <v>2012</v>
      </c>
      <c r="E134" s="31" t="s">
        <v>65</v>
      </c>
      <c r="F134" s="31" t="s">
        <v>71</v>
      </c>
      <c r="G134" s="74"/>
      <c r="H134" s="31" t="s">
        <v>187</v>
      </c>
      <c r="I134" s="31"/>
      <c r="J134" s="31"/>
      <c r="K134" s="180"/>
      <c r="L134" s="789"/>
      <c r="M134" s="789"/>
      <c r="N134" s="789"/>
      <c r="O134" s="142">
        <v>5530</v>
      </c>
      <c r="P134" s="142">
        <f>Q134</f>
        <v>1300000</v>
      </c>
      <c r="Q134" s="142">
        <v>1300000</v>
      </c>
      <c r="R134" s="142">
        <f t="shared" si="425"/>
        <v>17333.333333333332</v>
      </c>
      <c r="S134" s="142">
        <f t="shared" si="426"/>
        <v>235.08137432188065</v>
      </c>
      <c r="T134" s="142">
        <f t="shared" si="427"/>
        <v>235.08137432188065</v>
      </c>
      <c r="U134" s="142">
        <f t="shared" si="433"/>
        <v>198.20517589947033</v>
      </c>
      <c r="V134" s="142">
        <f t="shared" si="428"/>
        <v>17333.333333333332</v>
      </c>
      <c r="W134" s="142">
        <f t="shared" si="429"/>
        <v>73.733333333333334</v>
      </c>
      <c r="X134" s="142"/>
      <c r="Y134" s="522">
        <f t="shared" si="434"/>
        <v>135.62386980108499</v>
      </c>
      <c r="Z134" s="143" t="s">
        <v>164</v>
      </c>
      <c r="AA134" s="143"/>
      <c r="AB134" s="144"/>
      <c r="AC134" s="31" t="s">
        <v>10</v>
      </c>
      <c r="AD134" s="493">
        <f t="shared" si="416"/>
        <v>75</v>
      </c>
      <c r="AE134" s="494">
        <f t="shared" si="435"/>
        <v>75</v>
      </c>
      <c r="AF134" s="42"/>
      <c r="AG134" s="31">
        <v>75</v>
      </c>
      <c r="AH134" s="42"/>
      <c r="AI134" s="42"/>
      <c r="AJ134" s="799">
        <v>5619.25</v>
      </c>
      <c r="AK134" s="276">
        <v>6558.86</v>
      </c>
      <c r="AL134" s="586">
        <f t="shared" si="436"/>
        <v>74.923333333333332</v>
      </c>
      <c r="AM134" s="8">
        <f t="shared" si="437"/>
        <v>87.451466666666661</v>
      </c>
      <c r="AN134" s="35">
        <v>5.75</v>
      </c>
      <c r="AO134" s="35">
        <v>4.93</v>
      </c>
      <c r="AP134" s="35">
        <v>431.01153885333326</v>
      </c>
      <c r="AQ134" s="53">
        <f>5/AD134</f>
        <v>6.6666666666666666E-2</v>
      </c>
      <c r="AR134" s="53">
        <f>10/AD134</f>
        <v>0.13333333333333333</v>
      </c>
      <c r="AS134" s="53">
        <f>30/AD134</f>
        <v>0.4</v>
      </c>
      <c r="AT134" s="53">
        <f>25/AD134</f>
        <v>0.33333333333333331</v>
      </c>
      <c r="AU134" s="53">
        <f>5/AD134</f>
        <v>6.6666666666666666E-2</v>
      </c>
      <c r="AV134" s="35">
        <v>697.88</v>
      </c>
      <c r="AW134" s="51">
        <v>0</v>
      </c>
      <c r="AX134" s="53">
        <f>AW134/O134</f>
        <v>0</v>
      </c>
      <c r="AY134" s="35">
        <v>7</v>
      </c>
      <c r="AZ134" s="34" t="s">
        <v>398</v>
      </c>
      <c r="BA134" s="35" t="s">
        <v>98</v>
      </c>
      <c r="BB134" s="35"/>
      <c r="BC134" s="35"/>
      <c r="BD134" s="35"/>
      <c r="BE134" s="35"/>
      <c r="BF134" s="31"/>
      <c r="BG134" s="31"/>
      <c r="BH134" s="126">
        <v>40963</v>
      </c>
      <c r="BI134" s="126"/>
      <c r="BJ134" s="660">
        <v>40998</v>
      </c>
      <c r="BK134" s="660">
        <v>41094</v>
      </c>
      <c r="BL134" s="661"/>
      <c r="BM134" s="659">
        <f t="shared" si="438"/>
        <v>3.2</v>
      </c>
      <c r="BN134" s="578"/>
      <c r="BO134" s="65"/>
      <c r="BP134" s="634">
        <v>41262</v>
      </c>
      <c r="BQ134" s="634"/>
      <c r="BR134" s="634"/>
      <c r="BS134" s="110">
        <f>DATE(YEAR(BP134),MONTH(BP134)+3,DAY(BP134))</f>
        <v>41352</v>
      </c>
      <c r="BT134" s="65"/>
      <c r="BU134" s="201">
        <v>41365</v>
      </c>
      <c r="BV134" s="201">
        <f t="shared" si="439"/>
        <v>42095</v>
      </c>
      <c r="BW134" s="439">
        <v>282342</v>
      </c>
      <c r="BX134" s="201" t="str">
        <f t="shared" si="440"/>
        <v>oui</v>
      </c>
      <c r="BY134" s="557">
        <f t="shared" si="441"/>
        <v>-7.9</v>
      </c>
      <c r="BZ134" s="439" t="str">
        <f t="shared" si="442"/>
        <v>0</v>
      </c>
      <c r="CA134" s="439">
        <f t="shared" si="443"/>
        <v>282342</v>
      </c>
      <c r="CB134" s="81"/>
      <c r="CC134" s="81"/>
      <c r="CD134" s="81"/>
      <c r="CE134" s="326" t="str">
        <f t="shared" si="444"/>
        <v>0</v>
      </c>
      <c r="CF134" s="81"/>
      <c r="CG134" s="81"/>
      <c r="CH134" s="326" t="str">
        <f t="shared" si="445"/>
        <v>0</v>
      </c>
      <c r="CI134" s="81"/>
      <c r="CJ134" s="81"/>
      <c r="CK134" s="326" t="str">
        <f t="shared" si="446"/>
        <v>0</v>
      </c>
      <c r="CL134" s="81"/>
      <c r="CM134" s="81"/>
      <c r="CN134" s="326" t="str">
        <f t="shared" si="447"/>
        <v>0</v>
      </c>
      <c r="CO134" s="83"/>
      <c r="CP134" s="365"/>
      <c r="CQ134" s="326" t="str">
        <f t="shared" si="448"/>
        <v>0</v>
      </c>
      <c r="CR134" s="292"/>
      <c r="CS134" s="159"/>
      <c r="CT134" s="81"/>
      <c r="CU134" s="159"/>
      <c r="CV134" s="326" t="str">
        <f>IF(AND(CT134&gt;0,CU134&gt;0),CU134-CT134,"0")</f>
        <v>0</v>
      </c>
      <c r="CW134" s="81"/>
      <c r="CX134" s="236">
        <v>41428</v>
      </c>
      <c r="CY134" s="230">
        <v>2013</v>
      </c>
      <c r="CZ134" s="285">
        <f t="shared" si="415"/>
        <v>11.133333333333333</v>
      </c>
      <c r="DA134" s="326" t="str">
        <f t="shared" si="397"/>
        <v>0</v>
      </c>
      <c r="DB134" s="168">
        <v>20</v>
      </c>
      <c r="DC134" s="168">
        <f t="shared" si="398"/>
        <v>28</v>
      </c>
      <c r="DD134" s="214"/>
      <c r="DE134" s="213"/>
      <c r="DF134" s="448" t="str">
        <f t="shared" si="411"/>
        <v>0</v>
      </c>
      <c r="DG134" s="214"/>
      <c r="DH134" s="395"/>
      <c r="DI134" s="396" t="str">
        <f t="shared" si="399"/>
        <v>0</v>
      </c>
      <c r="DJ134" s="179"/>
      <c r="DK134" s="395"/>
      <c r="DL134" s="448" t="str">
        <f t="shared" si="421"/>
        <v>0</v>
      </c>
      <c r="DM134" s="213"/>
      <c r="DN134" s="214"/>
      <c r="DO134" s="448" t="str">
        <f t="shared" si="400"/>
        <v>0</v>
      </c>
      <c r="DP134" s="219"/>
      <c r="DQ134" s="219"/>
      <c r="DR134" s="448" t="str">
        <f t="shared" si="401"/>
        <v>0</v>
      </c>
      <c r="DS134" s="219"/>
      <c r="DT134" s="220"/>
      <c r="DU134" s="448" t="str">
        <f t="shared" si="402"/>
        <v>0</v>
      </c>
      <c r="DV134" s="214"/>
      <c r="DW134" s="214"/>
      <c r="DX134" s="448" t="str">
        <f t="shared" si="403"/>
        <v>0</v>
      </c>
      <c r="DY134" s="220"/>
      <c r="DZ134" s="220"/>
      <c r="EA134" s="220"/>
      <c r="EB134" s="293">
        <f t="shared" si="423"/>
        <v>42038</v>
      </c>
      <c r="EC134" s="236">
        <v>42296</v>
      </c>
      <c r="ED134" s="468">
        <f t="shared" si="417"/>
        <v>8.6</v>
      </c>
      <c r="EE134" s="752"/>
      <c r="EF134" s="793"/>
      <c r="EG134" s="753">
        <v>42332</v>
      </c>
      <c r="EH134" s="75" t="s">
        <v>105</v>
      </c>
      <c r="EI134" s="754">
        <v>42332</v>
      </c>
      <c r="EJ134" s="293"/>
      <c r="EK134" s="533">
        <f t="shared" si="384"/>
        <v>42066</v>
      </c>
      <c r="EL134" s="238">
        <v>42332</v>
      </c>
      <c r="EM134" s="232">
        <v>2015</v>
      </c>
      <c r="EN134" s="465">
        <f>(DATEDIF(EK134,EL134,"d"))/30</f>
        <v>8.8666666666666671</v>
      </c>
      <c r="EO134" s="455">
        <f>399634.976353658/12</f>
        <v>33302.91469613817</v>
      </c>
      <c r="EP134" s="213">
        <f t="shared" si="430"/>
        <v>295285.84363909176</v>
      </c>
      <c r="EQ134" s="75"/>
      <c r="ER134" s="349"/>
      <c r="ES134" s="454">
        <f>HC134</f>
        <v>0</v>
      </c>
      <c r="ET134" s="353"/>
      <c r="EU134" s="353"/>
      <c r="EV134" s="482"/>
      <c r="EW134" s="483">
        <f t="shared" si="449"/>
        <v>0</v>
      </c>
      <c r="EX134" s="350"/>
      <c r="EY134" s="362" t="s">
        <v>527</v>
      </c>
      <c r="EZ134" s="355"/>
      <c r="FA134" s="355"/>
      <c r="FB134" s="126">
        <f t="shared" si="385"/>
        <v>731</v>
      </c>
      <c r="FC134" s="80">
        <v>42679</v>
      </c>
      <c r="FD134" s="80"/>
      <c r="FE134" s="80"/>
      <c r="FF134" s="80"/>
      <c r="FG134" s="81">
        <v>42341</v>
      </c>
      <c r="FH134" s="75">
        <v>42656</v>
      </c>
      <c r="FI134" s="214">
        <f t="shared" si="424"/>
        <v>42662</v>
      </c>
      <c r="FJ134" s="442">
        <v>114015</v>
      </c>
      <c r="FK134" s="75" t="s">
        <v>105</v>
      </c>
      <c r="FL134" s="75">
        <v>42424</v>
      </c>
      <c r="FM134" s="75"/>
      <c r="FN134" s="80"/>
      <c r="FO134" s="80"/>
      <c r="FP134" s="80"/>
      <c r="FQ134" s="80"/>
      <c r="FR134" s="161">
        <v>43136</v>
      </c>
      <c r="FS134" s="161"/>
      <c r="FT134" s="161">
        <v>42808</v>
      </c>
      <c r="FU134" s="161"/>
      <c r="FV134" s="80"/>
      <c r="FW134" s="80"/>
      <c r="FX134" s="392">
        <v>11693100</v>
      </c>
      <c r="FY134" s="652">
        <f t="shared" si="418"/>
        <v>12349548.309999999</v>
      </c>
      <c r="FZ134" s="550">
        <f t="shared" si="365"/>
        <v>12349548.309999999</v>
      </c>
      <c r="GA134" s="500">
        <f t="shared" si="412"/>
        <v>12349548.309999999</v>
      </c>
      <c r="GB134" s="610">
        <f>GM134+GN134+GR134</f>
        <v>995000</v>
      </c>
      <c r="GC134" s="28">
        <f t="shared" si="419"/>
        <v>1882.8803038942742</v>
      </c>
      <c r="GD134" s="28">
        <f t="shared" si="431"/>
        <v>164660.64413333332</v>
      </c>
      <c r="GE134" s="45">
        <v>3816022.8</v>
      </c>
      <c r="GF134" s="417"/>
      <c r="GG134" s="28">
        <f t="shared" si="413"/>
        <v>50880.303999999996</v>
      </c>
      <c r="GH134" s="45">
        <f>+GI134+GJ134</f>
        <v>7538525.5099999998</v>
      </c>
      <c r="GI134" s="59">
        <v>1459253.6</v>
      </c>
      <c r="GJ134" s="59">
        <v>6079271.9100000001</v>
      </c>
      <c r="GK134" s="408">
        <f t="shared" si="432"/>
        <v>100513.67346666666</v>
      </c>
      <c r="GL134" s="45">
        <v>0</v>
      </c>
      <c r="GM134" s="44">
        <v>995000</v>
      </c>
      <c r="GN134" s="44"/>
      <c r="GO134" s="60">
        <f t="shared" si="420"/>
        <v>8.0569748384586873E-2</v>
      </c>
      <c r="GP134" s="60"/>
      <c r="GQ134" s="60"/>
      <c r="GR134" s="44">
        <v>0</v>
      </c>
      <c r="GS134" s="28">
        <f t="shared" si="450"/>
        <v>13266.666666666666</v>
      </c>
      <c r="GT134" s="28">
        <f t="shared" si="451"/>
        <v>64146.970666666661</v>
      </c>
      <c r="GU134" s="682">
        <v>0</v>
      </c>
      <c r="GV134" s="682">
        <v>0</v>
      </c>
      <c r="GW134" s="682" t="e">
        <f>(#REF!+#REF!+GV134)/AD134</f>
        <v>#REF!</v>
      </c>
      <c r="GX134" s="682">
        <v>0</v>
      </c>
      <c r="GY134" s="682">
        <f t="shared" si="452"/>
        <v>64146.970666666661</v>
      </c>
      <c r="GZ134" s="681">
        <f>(GE134+GM134+GV134+GX134)/(GU134+FZ134-HA134)</f>
        <v>0.38957075021960869</v>
      </c>
      <c r="HA134" s="682"/>
      <c r="HB134" s="682"/>
      <c r="HC134" s="45"/>
      <c r="HD134" s="602"/>
      <c r="HE134" s="608">
        <f t="shared" si="453"/>
        <v>0</v>
      </c>
      <c r="HF134" s="616">
        <f t="shared" si="454"/>
        <v>12349548.309999999</v>
      </c>
      <c r="HG134" s="602">
        <f t="shared" ca="1" si="455"/>
        <v>12349548.309999999</v>
      </c>
      <c r="HH134" s="602"/>
      <c r="HI134" s="602"/>
      <c r="HJ134" s="602">
        <f>GB134-HI134</f>
        <v>995000</v>
      </c>
      <c r="HK134" s="609">
        <f>HI134/GB134</f>
        <v>0</v>
      </c>
      <c r="HL134" s="609"/>
      <c r="HM134" s="673"/>
      <c r="HN134" s="62"/>
      <c r="HO134" s="673"/>
      <c r="HP134" s="673">
        <f t="shared" si="456"/>
        <v>0</v>
      </c>
      <c r="HQ134" s="539"/>
      <c r="HR134" s="539"/>
      <c r="HS134" s="539"/>
      <c r="HT134" s="539"/>
      <c r="HU134" s="539"/>
      <c r="HV134" s="673"/>
      <c r="HW134" s="673">
        <f t="shared" si="422"/>
        <v>0</v>
      </c>
      <c r="HX134" s="539"/>
    </row>
    <row r="135" spans="1:232 16317:16317" ht="15" customHeight="1">
      <c r="A135" s="63" t="s">
        <v>648</v>
      </c>
      <c r="B135" s="31" t="s">
        <v>14</v>
      </c>
      <c r="C135" s="31" t="s">
        <v>90</v>
      </c>
      <c r="D135" s="31">
        <v>2022</v>
      </c>
      <c r="E135" s="31"/>
      <c r="F135" s="31"/>
      <c r="G135" s="31"/>
      <c r="H135" s="33" t="s">
        <v>649</v>
      </c>
      <c r="I135" s="31"/>
      <c r="J135" s="31" t="s">
        <v>652</v>
      </c>
      <c r="K135" s="180" t="s">
        <v>650</v>
      </c>
      <c r="L135" s="114" t="s">
        <v>651</v>
      </c>
      <c r="M135" s="115"/>
      <c r="N135" s="116"/>
      <c r="O135" s="142">
        <f>1074+15560+237+7673+7583+10102+145</f>
        <v>42374</v>
      </c>
      <c r="P135" s="142">
        <v>1330000</v>
      </c>
      <c r="Q135" s="142"/>
      <c r="R135" s="142">
        <f t="shared" si="425"/>
        <v>11083.333333333334</v>
      </c>
      <c r="S135" s="142">
        <f t="shared" si="426"/>
        <v>31.387171378675603</v>
      </c>
      <c r="T135" s="148">
        <f t="shared" si="427"/>
        <v>0</v>
      </c>
      <c r="U135" s="148" t="e">
        <f t="shared" si="433"/>
        <v>#DIV/0!</v>
      </c>
      <c r="V135" s="148">
        <f t="shared" si="428"/>
        <v>0</v>
      </c>
      <c r="W135" s="142">
        <f t="shared" si="429"/>
        <v>353.11666666666667</v>
      </c>
      <c r="X135" s="143"/>
      <c r="Y135" s="525">
        <f t="shared" si="434"/>
        <v>28.319252371737385</v>
      </c>
      <c r="Z135" s="143" t="s">
        <v>619</v>
      </c>
      <c r="AA135" s="143"/>
      <c r="AB135" s="144"/>
      <c r="AC135" s="31" t="s">
        <v>10</v>
      </c>
      <c r="AD135" s="493">
        <f t="shared" si="416"/>
        <v>120</v>
      </c>
      <c r="AE135" s="493">
        <f t="shared" si="435"/>
        <v>120</v>
      </c>
      <c r="AF135" s="42"/>
      <c r="AG135" s="31">
        <v>120</v>
      </c>
      <c r="AH135" s="42"/>
      <c r="AI135" s="42"/>
      <c r="AJ135" s="797"/>
      <c r="AK135" s="276"/>
      <c r="AL135" s="586">
        <f t="shared" si="436"/>
        <v>0</v>
      </c>
      <c r="AM135" s="8">
        <f t="shared" si="437"/>
        <v>0</v>
      </c>
      <c r="AN135" s="35"/>
      <c r="AO135" s="35"/>
      <c r="AP135" s="35"/>
      <c r="AQ135" s="53"/>
      <c r="AR135" s="53"/>
      <c r="AS135" s="53"/>
      <c r="AT135" s="53"/>
      <c r="AU135" s="53"/>
      <c r="AV135" s="35"/>
      <c r="AW135" s="51"/>
      <c r="AX135" s="53"/>
      <c r="AY135" s="35"/>
      <c r="AZ135" s="34"/>
      <c r="BA135" s="31"/>
      <c r="BB135" s="31"/>
      <c r="BC135" s="31"/>
      <c r="BD135" s="31"/>
      <c r="BE135" s="31"/>
      <c r="BF135" s="165"/>
      <c r="BG135" s="165"/>
      <c r="BH135" s="126"/>
      <c r="BI135" s="126"/>
      <c r="BJ135" s="660"/>
      <c r="BK135" s="660"/>
      <c r="BL135" s="661"/>
      <c r="BM135" s="659">
        <f t="shared" si="438"/>
        <v>0</v>
      </c>
      <c r="BN135" s="578" t="s">
        <v>235</v>
      </c>
      <c r="BO135" s="110"/>
      <c r="BP135" s="139"/>
      <c r="BQ135" s="654">
        <f t="shared" ref="BQ135:BQ152" si="457">(DATEDIF(BO135,BP135,"d"))/30</f>
        <v>0</v>
      </c>
      <c r="BR135" s="638"/>
      <c r="BS135" s="110"/>
      <c r="BT135" s="110"/>
      <c r="BU135" s="202"/>
      <c r="BV135" s="201">
        <f t="shared" si="439"/>
        <v>731</v>
      </c>
      <c r="BW135" s="439"/>
      <c r="BX135" s="201" t="str">
        <f t="shared" si="440"/>
        <v>oui</v>
      </c>
      <c r="BY135" s="557">
        <f t="shared" si="441"/>
        <v>-1512.7333333333333</v>
      </c>
      <c r="BZ135" s="439">
        <f t="shared" si="442"/>
        <v>0</v>
      </c>
      <c r="CA135" s="439">
        <f t="shared" si="443"/>
        <v>0</v>
      </c>
      <c r="CB135" s="339"/>
      <c r="CC135" s="341"/>
      <c r="CD135" s="341"/>
      <c r="CE135" s="343" t="str">
        <f t="shared" si="444"/>
        <v>0</v>
      </c>
      <c r="CF135" s="341"/>
      <c r="CG135" s="341"/>
      <c r="CH135" s="343" t="str">
        <f t="shared" si="445"/>
        <v>0</v>
      </c>
      <c r="CI135" s="341"/>
      <c r="CJ135" s="341"/>
      <c r="CK135" s="343" t="str">
        <f t="shared" si="446"/>
        <v>0</v>
      </c>
      <c r="CL135" s="341"/>
      <c r="CM135" s="341"/>
      <c r="CN135" s="343" t="str">
        <f t="shared" si="447"/>
        <v>0</v>
      </c>
      <c r="CO135" s="341"/>
      <c r="CP135" s="341"/>
      <c r="CQ135" s="343" t="str">
        <f t="shared" si="448"/>
        <v>0</v>
      </c>
      <c r="CR135" s="290"/>
      <c r="CS135" s="345"/>
      <c r="CT135" s="330"/>
      <c r="CU135" s="331"/>
      <c r="CV135" s="332" t="str">
        <f>IF(AND(CT135&gt;0,CU135&gt;0),CU135-CT135,"0")</f>
        <v>0</v>
      </c>
      <c r="CW135" s="330"/>
      <c r="CX135" s="449">
        <v>44743</v>
      </c>
      <c r="CY135" s="233"/>
      <c r="CZ135" s="284">
        <f t="shared" si="415"/>
        <v>1491.4333333333334</v>
      </c>
      <c r="DA135" s="332" t="str">
        <f t="shared" si="397"/>
        <v>0</v>
      </c>
      <c r="DB135" s="450">
        <v>41</v>
      </c>
      <c r="DC135" s="169">
        <f t="shared" si="398"/>
        <v>44</v>
      </c>
      <c r="DD135" s="330"/>
      <c r="DE135" s="335">
        <f t="shared" ref="DE135:DE144" ca="1" si="458">IF(DD135&lt;TODAY(),TODAY(),DD135)</f>
        <v>43950</v>
      </c>
      <c r="DF135" s="332" t="str">
        <f t="shared" ca="1" si="411"/>
        <v>0</v>
      </c>
      <c r="DG135" s="330"/>
      <c r="DH135" s="348">
        <f t="shared" ref="DH135:DH144" ca="1" si="459">IF(DG135&lt;TODAY(),TODAY(),DG135)</f>
        <v>43950</v>
      </c>
      <c r="DI135" s="333" t="str">
        <f t="shared" ca="1" si="399"/>
        <v>0</v>
      </c>
      <c r="DJ135" s="334"/>
      <c r="DK135" s="348">
        <f t="shared" ref="DK135:DK144" ca="1" si="460">IF(DJ135&lt;TODAY(),TODAY(),DJ135)</f>
        <v>43950</v>
      </c>
      <c r="DL135" s="332" t="str">
        <f t="shared" ca="1" si="421"/>
        <v>0</v>
      </c>
      <c r="DM135" s="335">
        <v>43541</v>
      </c>
      <c r="DN135" s="335">
        <f t="shared" ref="DN135:DN144" ca="1" si="461">IF(DM135&lt;TODAY(),TODAY(),DM135)</f>
        <v>43950</v>
      </c>
      <c r="DO135" s="332">
        <f t="shared" ca="1" si="400"/>
        <v>409</v>
      </c>
      <c r="DP135" s="336"/>
      <c r="DQ135" s="336"/>
      <c r="DR135" s="332" t="str">
        <f t="shared" si="401"/>
        <v>0</v>
      </c>
      <c r="DS135" s="335"/>
      <c r="DT135" s="335">
        <f t="shared" ref="DT135:DT144" ca="1" si="462">IF(DS135&lt;TODAY(),TODAY(),DS135)</f>
        <v>43950</v>
      </c>
      <c r="DU135" s="332" t="str">
        <f t="shared" ca="1" si="402"/>
        <v>0</v>
      </c>
      <c r="DV135" s="335">
        <v>43618</v>
      </c>
      <c r="DW135" s="335">
        <f t="shared" ref="DW135:DW144" ca="1" si="463">IF(DV135&lt;TODAY(),TODAY(),DV135)</f>
        <v>43950</v>
      </c>
      <c r="DX135" s="332">
        <f t="shared" ca="1" si="403"/>
        <v>332</v>
      </c>
      <c r="DY135" s="335"/>
      <c r="DZ135" s="335"/>
      <c r="EA135" s="335"/>
      <c r="EB135" s="477">
        <f t="shared" si="423"/>
        <v>45992</v>
      </c>
      <c r="EC135" s="476">
        <f t="shared" ref="EC135:EC144" si="464">DATE(YEAR(EB135),MONTH(EB135)+3,DAY(EB135))</f>
        <v>46082</v>
      </c>
      <c r="ED135" s="473">
        <f t="shared" si="417"/>
        <v>3</v>
      </c>
      <c r="EE135" s="605">
        <f t="shared" ref="EE135:EE152" ca="1" si="465">IF(((EC135-TODAY())/30)&lt;0,0,(EC135-TODAY())/30)</f>
        <v>71.066666666666663</v>
      </c>
      <c r="EF135" s="476">
        <f t="shared" ref="EF135:EF152" ca="1" si="466">DATE(YEAR(DH135)+2,MONTH(DH135),DAY(DH135))</f>
        <v>44680</v>
      </c>
      <c r="EG135" s="535"/>
      <c r="EH135" s="526"/>
      <c r="EI135" s="536">
        <f t="shared" ref="EI135:EI144" si="467">DATE(YEAR(EC135),MONTH(EC135)+4,DAY(EC135)+2)</f>
        <v>46206</v>
      </c>
      <c r="EJ135" s="295"/>
      <c r="EK135" s="534">
        <f t="shared" si="384"/>
        <v>46023</v>
      </c>
      <c r="EL135" s="476">
        <f t="shared" ref="EL135:EL144" si="468">DATE(YEAR(EC135),MONTH(EC135)+1,DAY(EC135))</f>
        <v>46113</v>
      </c>
      <c r="EM135" s="368"/>
      <c r="EN135" s="471">
        <f>(EL135-EK135)/30</f>
        <v>3</v>
      </c>
      <c r="EO135" s="461"/>
      <c r="EP135" s="173">
        <f t="shared" si="430"/>
        <v>0</v>
      </c>
      <c r="EQ135" s="77"/>
      <c r="ER135" s="353"/>
      <c r="ES135" s="353"/>
      <c r="ET135" s="353"/>
      <c r="EU135" s="353"/>
      <c r="EV135" s="482"/>
      <c r="EW135" s="483" t="e">
        <f t="shared" si="449"/>
        <v>#DIV/0!</v>
      </c>
      <c r="EX135" s="350"/>
      <c r="EY135" s="362"/>
      <c r="EZ135" s="355"/>
      <c r="FA135" s="355"/>
      <c r="FB135" s="126">
        <f t="shared" ca="1" si="385"/>
        <v>44680</v>
      </c>
      <c r="FC135" s="80"/>
      <c r="FD135" s="80"/>
      <c r="FE135" s="80"/>
      <c r="FF135" s="80"/>
      <c r="FG135" s="80"/>
      <c r="FH135" s="31"/>
      <c r="FI135" s="194">
        <f t="shared" si="424"/>
        <v>46447</v>
      </c>
      <c r="FJ135" s="194"/>
      <c r="FK135" s="31"/>
      <c r="FL135" s="31"/>
      <c r="FM135" s="31"/>
      <c r="FN135" s="31"/>
      <c r="FO135" s="31"/>
      <c r="FP135" s="31"/>
      <c r="FQ135" s="31"/>
      <c r="FR135" s="31"/>
      <c r="FS135" s="31"/>
      <c r="FT135" s="31"/>
      <c r="FU135" s="31"/>
      <c r="FV135" s="31"/>
      <c r="FW135" s="31"/>
      <c r="FX135" s="529"/>
      <c r="FY135" s="652">
        <f t="shared" si="418"/>
        <v>0</v>
      </c>
      <c r="FZ135" s="550">
        <f t="shared" si="365"/>
        <v>0</v>
      </c>
      <c r="GA135" s="45">
        <f t="shared" si="412"/>
        <v>0</v>
      </c>
      <c r="GB135" s="602">
        <f t="shared" ref="GB135:GB144" si="469">GM135+GN135+GR135+GV135</f>
        <v>0</v>
      </c>
      <c r="GC135" s="28" t="e">
        <f t="shared" si="419"/>
        <v>#DIV/0!</v>
      </c>
      <c r="GD135" s="28">
        <f t="shared" si="431"/>
        <v>0</v>
      </c>
      <c r="GE135" s="45"/>
      <c r="GF135" s="417"/>
      <c r="GG135" s="28">
        <f t="shared" si="413"/>
        <v>0</v>
      </c>
      <c r="GH135" s="45">
        <f t="shared" ref="GH135:GH144" si="470">GI135+GJ135</f>
        <v>0</v>
      </c>
      <c r="GI135" s="59"/>
      <c r="GJ135" s="59"/>
      <c r="GK135" s="408">
        <f t="shared" si="432"/>
        <v>0</v>
      </c>
      <c r="GL135" s="45"/>
      <c r="GM135" s="45"/>
      <c r="GN135" s="45"/>
      <c r="GO135" s="60" t="e">
        <f t="shared" si="420"/>
        <v>#DIV/0!</v>
      </c>
      <c r="GP135" s="45"/>
      <c r="GQ135" s="45"/>
      <c r="GR135" s="45"/>
      <c r="GS135" s="28">
        <f t="shared" si="450"/>
        <v>0</v>
      </c>
      <c r="GT135" s="28">
        <f t="shared" si="451"/>
        <v>0</v>
      </c>
      <c r="GU135" s="682"/>
      <c r="GV135" s="682"/>
      <c r="GW135" s="682" t="e">
        <f>(#REF!+#REF!+GV135)/AD135</f>
        <v>#REF!</v>
      </c>
      <c r="GX135" s="682"/>
      <c r="GY135" s="682">
        <f t="shared" si="452"/>
        <v>0</v>
      </c>
      <c r="GZ135" s="681" t="e">
        <f>(GE135+GM135+GV135+GX135)/(GU135+FZ135-HA135)</f>
        <v>#DIV/0!</v>
      </c>
      <c r="HA135" s="682"/>
      <c r="HB135" s="682"/>
      <c r="HC135" s="45"/>
      <c r="HD135" s="602"/>
      <c r="HE135" s="608" t="e">
        <f t="shared" si="453"/>
        <v>#DIV/0!</v>
      </c>
      <c r="HF135" s="602">
        <f t="shared" si="454"/>
        <v>0</v>
      </c>
      <c r="HG135" s="602">
        <f t="shared" ca="1" si="455"/>
        <v>0</v>
      </c>
      <c r="HH135" s="608" t="e">
        <f ca="1">(HD135+HG135)/FZ135</f>
        <v>#DIV/0!</v>
      </c>
      <c r="HI135" s="602"/>
      <c r="HJ135" s="602">
        <f>GB135-HI135</f>
        <v>0</v>
      </c>
      <c r="HK135" s="602" t="e">
        <f>HI135/GB135</f>
        <v>#DIV/0!</v>
      </c>
      <c r="HL135" s="602"/>
      <c r="HM135" s="673"/>
      <c r="HN135" s="62"/>
      <c r="HO135" s="673"/>
      <c r="HP135" s="673">
        <f t="shared" si="456"/>
        <v>0</v>
      </c>
      <c r="HQ135" s="539"/>
      <c r="HR135" s="539"/>
      <c r="HS135" s="539"/>
      <c r="HT135" s="539"/>
      <c r="HU135" s="539"/>
      <c r="HV135" s="673"/>
      <c r="HW135" s="673">
        <f t="shared" si="422"/>
        <v>0</v>
      </c>
      <c r="HX135" s="539"/>
    </row>
    <row r="136" spans="1:232 16317:16317" ht="15" customHeight="1">
      <c r="A136" s="58" t="s">
        <v>641</v>
      </c>
      <c r="B136" s="31" t="s">
        <v>25</v>
      </c>
      <c r="C136" s="31" t="s">
        <v>92</v>
      </c>
      <c r="D136" s="31">
        <v>2022</v>
      </c>
      <c r="E136" s="31"/>
      <c r="F136" s="31"/>
      <c r="G136" s="31"/>
      <c r="H136" s="33" t="s">
        <v>287</v>
      </c>
      <c r="I136" s="31"/>
      <c r="J136" s="31" t="s">
        <v>421</v>
      </c>
      <c r="K136" s="180" t="s">
        <v>642</v>
      </c>
      <c r="L136" s="114"/>
      <c r="M136" s="115"/>
      <c r="N136" s="116"/>
      <c r="O136" s="142">
        <v>10113</v>
      </c>
      <c r="P136" s="142">
        <v>1097000</v>
      </c>
      <c r="Q136" s="142">
        <f>P136</f>
        <v>1097000</v>
      </c>
      <c r="R136" s="142">
        <f t="shared" si="425"/>
        <v>12465.90909090909</v>
      </c>
      <c r="S136" s="142">
        <f t="shared" si="426"/>
        <v>108.47424107584297</v>
      </c>
      <c r="T136" s="148">
        <f t="shared" si="427"/>
        <v>108.47424107584297</v>
      </c>
      <c r="U136" s="148" t="e">
        <f t="shared" si="433"/>
        <v>#DIV/0!</v>
      </c>
      <c r="V136" s="148">
        <f t="shared" si="428"/>
        <v>12465.90909090909</v>
      </c>
      <c r="W136" s="142">
        <f t="shared" si="429"/>
        <v>114.92045454545455</v>
      </c>
      <c r="X136" s="143"/>
      <c r="Y136" s="525">
        <f t="shared" si="434"/>
        <v>87.016711163848512</v>
      </c>
      <c r="Z136" s="143" t="s">
        <v>147</v>
      </c>
      <c r="AA136" s="143"/>
      <c r="AB136" s="144"/>
      <c r="AC136" s="31" t="s">
        <v>10</v>
      </c>
      <c r="AD136" s="493">
        <f t="shared" si="416"/>
        <v>88</v>
      </c>
      <c r="AE136" s="494">
        <f t="shared" si="435"/>
        <v>88</v>
      </c>
      <c r="AF136" s="42"/>
      <c r="AG136" s="31">
        <v>88</v>
      </c>
      <c r="AH136" s="42"/>
      <c r="AI136" s="31"/>
      <c r="AJ136" s="797"/>
      <c r="AK136" s="276"/>
      <c r="AL136" s="586">
        <f t="shared" si="436"/>
        <v>0</v>
      </c>
      <c r="AM136" s="8">
        <f t="shared" si="437"/>
        <v>0</v>
      </c>
      <c r="AN136" s="35"/>
      <c r="AO136" s="35"/>
      <c r="AP136" s="35"/>
      <c r="AQ136" s="53"/>
      <c r="AR136" s="53"/>
      <c r="AS136" s="53"/>
      <c r="AT136" s="53"/>
      <c r="AU136" s="53"/>
      <c r="AV136" s="35"/>
      <c r="AW136" s="51"/>
      <c r="AX136" s="53"/>
      <c r="AY136" s="35"/>
      <c r="AZ136" s="34"/>
      <c r="BA136" s="31"/>
      <c r="BB136" s="31"/>
      <c r="BC136" s="31"/>
      <c r="BD136" s="31"/>
      <c r="BE136" s="31"/>
      <c r="BF136" s="165"/>
      <c r="BG136" s="165"/>
      <c r="BH136" s="126"/>
      <c r="BI136" s="126"/>
      <c r="BJ136" s="660"/>
      <c r="BK136" s="660"/>
      <c r="BL136" s="661"/>
      <c r="BM136" s="659">
        <f t="shared" si="438"/>
        <v>0</v>
      </c>
      <c r="BN136" s="578" t="s">
        <v>235</v>
      </c>
      <c r="BO136" s="110"/>
      <c r="BP136" s="139"/>
      <c r="BQ136" s="654">
        <f t="shared" si="457"/>
        <v>0</v>
      </c>
      <c r="BR136" s="638"/>
      <c r="BS136" s="110"/>
      <c r="BT136" s="110"/>
      <c r="BU136" s="202"/>
      <c r="BV136" s="201">
        <f t="shared" si="439"/>
        <v>731</v>
      </c>
      <c r="BW136" s="439"/>
      <c r="BX136" s="201" t="str">
        <f t="shared" si="440"/>
        <v>oui</v>
      </c>
      <c r="BY136" s="557">
        <f t="shared" si="441"/>
        <v>-1516.8</v>
      </c>
      <c r="BZ136" s="439">
        <f t="shared" si="442"/>
        <v>0</v>
      </c>
      <c r="CA136" s="439">
        <f t="shared" si="443"/>
        <v>0</v>
      </c>
      <c r="CB136" s="339"/>
      <c r="CC136" s="341"/>
      <c r="CD136" s="341"/>
      <c r="CE136" s="343" t="str">
        <f t="shared" si="444"/>
        <v>0</v>
      </c>
      <c r="CF136" s="341"/>
      <c r="CG136" s="341"/>
      <c r="CH136" s="343" t="str">
        <f t="shared" si="445"/>
        <v>0</v>
      </c>
      <c r="CI136" s="341"/>
      <c r="CJ136" s="341"/>
      <c r="CK136" s="343" t="str">
        <f t="shared" si="446"/>
        <v>0</v>
      </c>
      <c r="CL136" s="341"/>
      <c r="CM136" s="341"/>
      <c r="CN136" s="343" t="str">
        <f t="shared" si="447"/>
        <v>0</v>
      </c>
      <c r="CO136" s="341"/>
      <c r="CP136" s="341"/>
      <c r="CQ136" s="343" t="str">
        <f t="shared" si="448"/>
        <v>0</v>
      </c>
      <c r="CR136" s="290"/>
      <c r="CS136" s="345"/>
      <c r="CT136" s="330"/>
      <c r="CU136" s="331"/>
      <c r="CV136" s="332" t="str">
        <f>IF(AND(CT136&gt;0,CU136&gt;0),CU136-CT136,"0")</f>
        <v>0</v>
      </c>
      <c r="CW136" s="330"/>
      <c r="CX136" s="449">
        <v>45108</v>
      </c>
      <c r="CY136" s="233"/>
      <c r="CZ136" s="284">
        <f t="shared" si="415"/>
        <v>1503.6</v>
      </c>
      <c r="DA136" s="332" t="str">
        <f t="shared" si="397"/>
        <v>0</v>
      </c>
      <c r="DB136" s="450">
        <v>33</v>
      </c>
      <c r="DC136" s="169">
        <f t="shared" si="398"/>
        <v>36</v>
      </c>
      <c r="DD136" s="330"/>
      <c r="DE136" s="335">
        <f t="shared" ca="1" si="458"/>
        <v>43950</v>
      </c>
      <c r="DF136" s="332" t="str">
        <f t="shared" ca="1" si="411"/>
        <v>0</v>
      </c>
      <c r="DG136" s="330"/>
      <c r="DH136" s="348">
        <f t="shared" ca="1" si="459"/>
        <v>43950</v>
      </c>
      <c r="DI136" s="333" t="str">
        <f t="shared" ca="1" si="399"/>
        <v>0</v>
      </c>
      <c r="DJ136" s="334"/>
      <c r="DK136" s="348">
        <f t="shared" ca="1" si="460"/>
        <v>43950</v>
      </c>
      <c r="DL136" s="332" t="str">
        <f t="shared" ca="1" si="421"/>
        <v>0</v>
      </c>
      <c r="DM136" s="335">
        <v>43533</v>
      </c>
      <c r="DN136" s="335">
        <f t="shared" ca="1" si="461"/>
        <v>43950</v>
      </c>
      <c r="DO136" s="332">
        <f t="shared" ca="1" si="400"/>
        <v>417</v>
      </c>
      <c r="DP136" s="336"/>
      <c r="DQ136" s="336"/>
      <c r="DR136" s="332" t="str">
        <f t="shared" si="401"/>
        <v>0</v>
      </c>
      <c r="DS136" s="335"/>
      <c r="DT136" s="335">
        <f t="shared" ca="1" si="462"/>
        <v>43950</v>
      </c>
      <c r="DU136" s="332" t="str">
        <f t="shared" ca="1" si="402"/>
        <v>0</v>
      </c>
      <c r="DV136" s="335">
        <v>43610</v>
      </c>
      <c r="DW136" s="335">
        <f t="shared" ca="1" si="463"/>
        <v>43950</v>
      </c>
      <c r="DX136" s="332">
        <f t="shared" ca="1" si="403"/>
        <v>340</v>
      </c>
      <c r="DY136" s="335"/>
      <c r="DZ136" s="335"/>
      <c r="EA136" s="335"/>
      <c r="EB136" s="477">
        <f t="shared" si="423"/>
        <v>46113</v>
      </c>
      <c r="EC136" s="476">
        <f t="shared" si="464"/>
        <v>46204</v>
      </c>
      <c r="ED136" s="473">
        <f t="shared" si="417"/>
        <v>3.0333333333333332</v>
      </c>
      <c r="EE136" s="605">
        <f t="shared" ca="1" si="465"/>
        <v>75.13333333333334</v>
      </c>
      <c r="EF136" s="476">
        <f t="shared" ca="1" si="466"/>
        <v>44680</v>
      </c>
      <c r="EG136" s="535"/>
      <c r="EH136" s="526"/>
      <c r="EI136" s="536">
        <f t="shared" si="467"/>
        <v>46329</v>
      </c>
      <c r="EJ136" s="295"/>
      <c r="EK136" s="534">
        <f t="shared" si="384"/>
        <v>46143</v>
      </c>
      <c r="EL136" s="476">
        <f t="shared" si="468"/>
        <v>46235</v>
      </c>
      <c r="EM136" s="368"/>
      <c r="EN136" s="471">
        <f>(EL136-EK136)/30</f>
        <v>3.0666666666666669</v>
      </c>
      <c r="EO136" s="461"/>
      <c r="EP136" s="173">
        <f t="shared" si="430"/>
        <v>0</v>
      </c>
      <c r="EQ136" s="77"/>
      <c r="ER136" s="353">
        <v>0</v>
      </c>
      <c r="ES136" s="353">
        <v>0</v>
      </c>
      <c r="ET136" s="353"/>
      <c r="EU136" s="353"/>
      <c r="EV136" s="482"/>
      <c r="EW136" s="483" t="e">
        <f t="shared" si="449"/>
        <v>#DIV/0!</v>
      </c>
      <c r="EX136" s="350"/>
      <c r="EY136" s="362"/>
      <c r="EZ136" s="355"/>
      <c r="FA136" s="355"/>
      <c r="FB136" s="126">
        <f t="shared" ca="1" si="385"/>
        <v>44680</v>
      </c>
      <c r="FC136" s="80"/>
      <c r="FD136" s="80"/>
      <c r="FE136" s="80"/>
      <c r="FF136" s="80"/>
      <c r="FG136" s="80"/>
      <c r="FH136" s="31"/>
      <c r="FI136" s="194">
        <f t="shared" si="424"/>
        <v>46569</v>
      </c>
      <c r="FJ136" s="194"/>
      <c r="FK136" s="31"/>
      <c r="FL136" s="31"/>
      <c r="FM136" s="31"/>
      <c r="FN136" s="31"/>
      <c r="FO136" s="31"/>
      <c r="FP136" s="31"/>
      <c r="FQ136" s="31"/>
      <c r="FR136" s="31"/>
      <c r="FS136" s="31"/>
      <c r="FT136" s="31"/>
      <c r="FU136" s="31"/>
      <c r="FV136" s="31"/>
      <c r="FW136" s="31"/>
      <c r="FX136" s="529"/>
      <c r="FY136" s="652">
        <f t="shared" si="418"/>
        <v>0</v>
      </c>
      <c r="FZ136" s="550">
        <f t="shared" ref="FZ136:FZ152" si="471">GE136+GH136+GM136+HC136+GL136+GR136+GP136+GQ136</f>
        <v>0</v>
      </c>
      <c r="GA136" s="45">
        <f t="shared" si="412"/>
        <v>0</v>
      </c>
      <c r="GB136" s="602">
        <f t="shared" si="469"/>
        <v>0</v>
      </c>
      <c r="GC136" s="28" t="e">
        <f t="shared" si="419"/>
        <v>#DIV/0!</v>
      </c>
      <c r="GD136" s="28">
        <f t="shared" si="431"/>
        <v>0</v>
      </c>
      <c r="GE136" s="45"/>
      <c r="GF136" s="417"/>
      <c r="GG136" s="28">
        <f t="shared" si="413"/>
        <v>0</v>
      </c>
      <c r="GH136" s="45">
        <f t="shared" si="470"/>
        <v>0</v>
      </c>
      <c r="GI136" s="59"/>
      <c r="GJ136" s="59"/>
      <c r="GK136" s="408">
        <f t="shared" si="432"/>
        <v>0</v>
      </c>
      <c r="GL136" s="45"/>
      <c r="GM136" s="45"/>
      <c r="GN136" s="45"/>
      <c r="GO136" s="60" t="e">
        <f t="shared" si="420"/>
        <v>#DIV/0!</v>
      </c>
      <c r="GP136" s="45"/>
      <c r="GQ136" s="45"/>
      <c r="GR136" s="45"/>
      <c r="GS136" s="28">
        <f t="shared" si="450"/>
        <v>0</v>
      </c>
      <c r="GT136" s="28">
        <f t="shared" si="451"/>
        <v>0</v>
      </c>
      <c r="GU136" s="682"/>
      <c r="GV136" s="682"/>
      <c r="GW136" s="682" t="e">
        <f>(#REF!+#REF!+GV136)/AD136</f>
        <v>#REF!</v>
      </c>
      <c r="GX136" s="682"/>
      <c r="GY136" s="682">
        <f t="shared" si="452"/>
        <v>0</v>
      </c>
      <c r="GZ136" s="681" t="e">
        <f>(GE136+GM136+GV136+GX136)/(GU136+FZ136-HA136)</f>
        <v>#DIV/0!</v>
      </c>
      <c r="HA136" s="682"/>
      <c r="HB136" s="682"/>
      <c r="HC136" s="45"/>
      <c r="HD136" s="602"/>
      <c r="HE136" s="608" t="e">
        <f t="shared" si="453"/>
        <v>#DIV/0!</v>
      </c>
      <c r="HF136" s="602">
        <f t="shared" si="454"/>
        <v>0</v>
      </c>
      <c r="HG136" s="602">
        <f t="shared" ca="1" si="455"/>
        <v>0</v>
      </c>
      <c r="HH136" s="608" t="e">
        <f ca="1">(HD136+HG136)/FZ136</f>
        <v>#DIV/0!</v>
      </c>
      <c r="HI136" s="602"/>
      <c r="HJ136" s="602">
        <f>GB136-HI136</f>
        <v>0</v>
      </c>
      <c r="HK136" s="602" t="e">
        <f>HI136/GB136</f>
        <v>#DIV/0!</v>
      </c>
      <c r="HL136" s="602"/>
      <c r="HM136" s="673"/>
      <c r="HN136" s="62"/>
      <c r="HO136" s="673"/>
      <c r="HP136" s="673">
        <f t="shared" si="456"/>
        <v>0</v>
      </c>
      <c r="HQ136" s="539"/>
      <c r="HR136" s="539"/>
      <c r="HS136" s="539"/>
      <c r="HT136" s="539"/>
      <c r="HU136" s="539"/>
      <c r="HV136" s="673"/>
      <c r="HW136" s="673">
        <f t="shared" si="422"/>
        <v>0</v>
      </c>
      <c r="HX136" s="539"/>
    </row>
    <row r="137" spans="1:232 16317:16317" ht="15" customHeight="1">
      <c r="A137" s="58" t="s">
        <v>442</v>
      </c>
      <c r="B137" s="31" t="s">
        <v>21</v>
      </c>
      <c r="C137" s="31" t="s">
        <v>90</v>
      </c>
      <c r="D137" s="31">
        <v>2022</v>
      </c>
      <c r="E137" s="31"/>
      <c r="F137" s="31"/>
      <c r="G137" s="31"/>
      <c r="H137" s="31" t="s">
        <v>199</v>
      </c>
      <c r="I137" s="31"/>
      <c r="J137" s="31" t="s">
        <v>442</v>
      </c>
      <c r="K137" s="180" t="s">
        <v>661</v>
      </c>
      <c r="L137" s="114"/>
      <c r="M137" s="115"/>
      <c r="N137" s="116"/>
      <c r="O137" s="142">
        <v>2165</v>
      </c>
      <c r="P137" s="142">
        <v>866000</v>
      </c>
      <c r="Q137" s="142"/>
      <c r="R137" s="142">
        <f t="shared" si="425"/>
        <v>14433.333333333334</v>
      </c>
      <c r="S137" s="142">
        <f t="shared" si="426"/>
        <v>400</v>
      </c>
      <c r="T137" s="148">
        <f t="shared" si="427"/>
        <v>0</v>
      </c>
      <c r="U137" s="148" t="e">
        <f t="shared" si="433"/>
        <v>#DIV/0!</v>
      </c>
      <c r="V137" s="148">
        <f t="shared" si="428"/>
        <v>0</v>
      </c>
      <c r="W137" s="142">
        <f t="shared" si="429"/>
        <v>36.083333333333336</v>
      </c>
      <c r="X137" s="143"/>
      <c r="Y137" s="525">
        <f t="shared" si="434"/>
        <v>277.13625866050808</v>
      </c>
      <c r="Z137" s="143" t="s">
        <v>147</v>
      </c>
      <c r="AA137" s="143">
        <v>500</v>
      </c>
      <c r="AB137" s="144">
        <v>0.1</v>
      </c>
      <c r="AC137" s="32" t="s">
        <v>9</v>
      </c>
      <c r="AD137" s="493">
        <f t="shared" si="416"/>
        <v>60</v>
      </c>
      <c r="AE137" s="494">
        <f t="shared" si="435"/>
        <v>60</v>
      </c>
      <c r="AF137" s="31">
        <v>30</v>
      </c>
      <c r="AG137" s="42"/>
      <c r="AH137" s="31">
        <v>30</v>
      </c>
      <c r="AI137" s="42"/>
      <c r="AJ137" s="797"/>
      <c r="AK137" s="276"/>
      <c r="AL137" s="586">
        <f t="shared" si="436"/>
        <v>0</v>
      </c>
      <c r="AM137" s="8">
        <f t="shared" si="437"/>
        <v>0</v>
      </c>
      <c r="AN137" s="35"/>
      <c r="AO137" s="35"/>
      <c r="AP137" s="35"/>
      <c r="AQ137" s="53"/>
      <c r="AR137" s="53"/>
      <c r="AS137" s="53"/>
      <c r="AT137" s="53"/>
      <c r="AU137" s="53"/>
      <c r="AV137" s="35"/>
      <c r="AW137" s="51"/>
      <c r="AX137" s="53"/>
      <c r="AY137" s="35"/>
      <c r="AZ137" s="34"/>
      <c r="BA137" s="31"/>
      <c r="BB137" s="31"/>
      <c r="BC137" s="31"/>
      <c r="BD137" s="31"/>
      <c r="BE137" s="31"/>
      <c r="BF137" s="126"/>
      <c r="BG137" s="126"/>
      <c r="BH137" s="31"/>
      <c r="BI137" s="31"/>
      <c r="BJ137" s="660"/>
      <c r="BK137" s="660"/>
      <c r="BL137" s="661"/>
      <c r="BM137" s="659">
        <f t="shared" si="438"/>
        <v>0</v>
      </c>
      <c r="BN137" s="578" t="s">
        <v>235</v>
      </c>
      <c r="BO137" s="110"/>
      <c r="BP137" s="139"/>
      <c r="BQ137" s="654">
        <f t="shared" si="457"/>
        <v>0</v>
      </c>
      <c r="BR137" s="638"/>
      <c r="BS137" s="110"/>
      <c r="BT137" s="110"/>
      <c r="BU137" s="202"/>
      <c r="BV137" s="201">
        <f t="shared" si="439"/>
        <v>731</v>
      </c>
      <c r="BW137" s="439"/>
      <c r="BX137" s="201" t="str">
        <f t="shared" si="440"/>
        <v>oui</v>
      </c>
      <c r="BY137" s="557">
        <f t="shared" si="441"/>
        <v>-1525.9</v>
      </c>
      <c r="BZ137" s="439">
        <f t="shared" si="442"/>
        <v>0</v>
      </c>
      <c r="CA137" s="439">
        <f t="shared" si="443"/>
        <v>0</v>
      </c>
      <c r="CB137" s="341"/>
      <c r="CC137" s="341"/>
      <c r="CD137" s="341"/>
      <c r="CE137" s="343" t="str">
        <f t="shared" si="444"/>
        <v>0</v>
      </c>
      <c r="CF137" s="341"/>
      <c r="CG137" s="341"/>
      <c r="CH137" s="343" t="str">
        <f t="shared" si="445"/>
        <v>0</v>
      </c>
      <c r="CI137" s="341"/>
      <c r="CJ137" s="341"/>
      <c r="CK137" s="343" t="str">
        <f t="shared" si="446"/>
        <v>0</v>
      </c>
      <c r="CL137" s="341"/>
      <c r="CM137" s="341"/>
      <c r="CN137" s="343" t="str">
        <f t="shared" si="447"/>
        <v>0</v>
      </c>
      <c r="CO137" s="341"/>
      <c r="CP137" s="341"/>
      <c r="CQ137" s="343" t="str">
        <f t="shared" si="448"/>
        <v>0</v>
      </c>
      <c r="CR137" s="290"/>
      <c r="CS137" s="342"/>
      <c r="CT137" s="330"/>
      <c r="CU137" s="331"/>
      <c r="CV137" s="332" t="str">
        <f>IF(AND(CT137&gt;0,CU137&gt;0),CU137-CT137,"0")</f>
        <v>0</v>
      </c>
      <c r="CW137" s="330"/>
      <c r="CX137" s="449">
        <v>45108</v>
      </c>
      <c r="CY137" s="233"/>
      <c r="CZ137" s="284">
        <f t="shared" si="415"/>
        <v>1503.6</v>
      </c>
      <c r="DA137" s="332" t="str">
        <f t="shared" si="397"/>
        <v>0</v>
      </c>
      <c r="DB137" s="450">
        <v>42</v>
      </c>
      <c r="DC137" s="169">
        <f t="shared" si="398"/>
        <v>45</v>
      </c>
      <c r="DD137" s="330"/>
      <c r="DE137" s="335">
        <f t="shared" ca="1" si="458"/>
        <v>43950</v>
      </c>
      <c r="DF137" s="332" t="str">
        <f t="shared" ca="1" si="411"/>
        <v>0</v>
      </c>
      <c r="DG137" s="330"/>
      <c r="DH137" s="348">
        <f t="shared" ca="1" si="459"/>
        <v>43950</v>
      </c>
      <c r="DI137" s="333" t="str">
        <f t="shared" ca="1" si="399"/>
        <v>0</v>
      </c>
      <c r="DJ137" s="334"/>
      <c r="DK137" s="348">
        <f t="shared" ca="1" si="460"/>
        <v>43950</v>
      </c>
      <c r="DL137" s="332" t="str">
        <f t="shared" ca="1" si="421"/>
        <v>0</v>
      </c>
      <c r="DM137" s="335">
        <v>43542</v>
      </c>
      <c r="DN137" s="335">
        <f t="shared" ca="1" si="461"/>
        <v>43950</v>
      </c>
      <c r="DO137" s="332">
        <f t="shared" ca="1" si="400"/>
        <v>408</v>
      </c>
      <c r="DP137" s="336"/>
      <c r="DQ137" s="336"/>
      <c r="DR137" s="332" t="str">
        <f t="shared" si="401"/>
        <v>0</v>
      </c>
      <c r="DS137" s="335"/>
      <c r="DT137" s="335">
        <f t="shared" ca="1" si="462"/>
        <v>43950</v>
      </c>
      <c r="DU137" s="332" t="str">
        <f t="shared" ca="1" si="402"/>
        <v>0</v>
      </c>
      <c r="DV137" s="335">
        <v>43619</v>
      </c>
      <c r="DW137" s="335">
        <f t="shared" ca="1" si="463"/>
        <v>43950</v>
      </c>
      <c r="DX137" s="332">
        <f t="shared" ca="1" si="403"/>
        <v>331</v>
      </c>
      <c r="DY137" s="335"/>
      <c r="DZ137" s="335"/>
      <c r="EA137" s="335"/>
      <c r="EB137" s="477">
        <f t="shared" si="423"/>
        <v>46388</v>
      </c>
      <c r="EC137" s="476">
        <f t="shared" si="464"/>
        <v>46478</v>
      </c>
      <c r="ED137" s="473">
        <f t="shared" si="417"/>
        <v>3</v>
      </c>
      <c r="EE137" s="605">
        <f t="shared" ca="1" si="465"/>
        <v>84.266666666666666</v>
      </c>
      <c r="EF137" s="476">
        <f t="shared" ca="1" si="466"/>
        <v>44680</v>
      </c>
      <c r="EG137" s="535"/>
      <c r="EH137" s="526"/>
      <c r="EI137" s="536">
        <f t="shared" si="467"/>
        <v>46602</v>
      </c>
      <c r="EJ137" s="295"/>
      <c r="EK137" s="534">
        <f t="shared" si="384"/>
        <v>46419</v>
      </c>
      <c r="EL137" s="476">
        <f t="shared" si="468"/>
        <v>46508</v>
      </c>
      <c r="EM137" s="368"/>
      <c r="EN137" s="471">
        <f>(EL137-EK137)/30</f>
        <v>2.9666666666666668</v>
      </c>
      <c r="EO137" s="461"/>
      <c r="EP137" s="173">
        <f t="shared" si="430"/>
        <v>0</v>
      </c>
      <c r="EQ137" s="77"/>
      <c r="ER137" s="353"/>
      <c r="ES137" s="353">
        <v>0</v>
      </c>
      <c r="ET137" s="353"/>
      <c r="EU137" s="353"/>
      <c r="EV137" s="482"/>
      <c r="EW137" s="483" t="e">
        <f t="shared" si="449"/>
        <v>#DIV/0!</v>
      </c>
      <c r="EX137" s="350"/>
      <c r="EY137" s="362"/>
      <c r="EZ137" s="355"/>
      <c r="FA137" s="355"/>
      <c r="FB137" s="126">
        <f t="shared" ca="1" si="385"/>
        <v>44680</v>
      </c>
      <c r="FC137" s="80"/>
      <c r="FD137" s="80"/>
      <c r="FE137" s="80"/>
      <c r="FF137" s="80"/>
      <c r="FG137" s="80"/>
      <c r="FH137" s="31"/>
      <c r="FI137" s="194">
        <f t="shared" si="424"/>
        <v>46844</v>
      </c>
      <c r="FJ137" s="194"/>
      <c r="FK137" s="31"/>
      <c r="FL137" s="31"/>
      <c r="FM137" s="31"/>
      <c r="FN137" s="31"/>
      <c r="FO137" s="31"/>
      <c r="FP137" s="31"/>
      <c r="FQ137" s="31"/>
      <c r="FR137" s="31"/>
      <c r="FS137" s="31"/>
      <c r="FT137" s="31"/>
      <c r="FU137" s="31"/>
      <c r="FV137" s="31"/>
      <c r="FW137" s="31"/>
      <c r="FX137" s="529"/>
      <c r="FY137" s="652">
        <f t="shared" si="418"/>
        <v>0</v>
      </c>
      <c r="FZ137" s="550">
        <f t="shared" si="471"/>
        <v>0</v>
      </c>
      <c r="GA137" s="45">
        <f t="shared" si="412"/>
        <v>0</v>
      </c>
      <c r="GB137" s="602">
        <f t="shared" si="469"/>
        <v>0</v>
      </c>
      <c r="GC137" s="28" t="e">
        <f t="shared" si="419"/>
        <v>#DIV/0!</v>
      </c>
      <c r="GD137" s="28">
        <f t="shared" si="431"/>
        <v>0</v>
      </c>
      <c r="GE137" s="45"/>
      <c r="GF137" s="417"/>
      <c r="GG137" s="28">
        <f t="shared" si="413"/>
        <v>0</v>
      </c>
      <c r="GH137" s="45">
        <f t="shared" si="470"/>
        <v>0</v>
      </c>
      <c r="GI137" s="59"/>
      <c r="GJ137" s="59"/>
      <c r="GK137" s="408">
        <f t="shared" si="432"/>
        <v>0</v>
      </c>
      <c r="GL137" s="45"/>
      <c r="GM137" s="45"/>
      <c r="GN137" s="45"/>
      <c r="GO137" s="60" t="e">
        <f t="shared" si="420"/>
        <v>#DIV/0!</v>
      </c>
      <c r="GP137" s="45"/>
      <c r="GQ137" s="45"/>
      <c r="GR137" s="45"/>
      <c r="GS137" s="28">
        <f t="shared" si="450"/>
        <v>0</v>
      </c>
      <c r="GT137" s="28">
        <f t="shared" si="451"/>
        <v>0</v>
      </c>
      <c r="GU137" s="682"/>
      <c r="GV137" s="682"/>
      <c r="GW137" s="682" t="e">
        <f>(#REF!+#REF!+GV137)/AD137</f>
        <v>#REF!</v>
      </c>
      <c r="GX137" s="682"/>
      <c r="GY137" s="682">
        <f t="shared" si="452"/>
        <v>0</v>
      </c>
      <c r="GZ137" s="681" t="e">
        <f>(#REF!+#REF!+GV137+GX137)/(GU137+#REF!-HA137)</f>
        <v>#REF!</v>
      </c>
      <c r="HA137" s="682"/>
      <c r="HB137" s="682"/>
      <c r="HC137" s="45">
        <f>ES137</f>
        <v>0</v>
      </c>
      <c r="HD137" s="602"/>
      <c r="HE137" s="608" t="e">
        <f t="shared" si="453"/>
        <v>#DIV/0!</v>
      </c>
      <c r="HF137" s="602">
        <f t="shared" si="454"/>
        <v>0</v>
      </c>
      <c r="HG137" s="602">
        <f t="shared" ca="1" si="455"/>
        <v>0</v>
      </c>
      <c r="HH137" s="602"/>
      <c r="HI137" s="602"/>
      <c r="HJ137" s="602"/>
      <c r="HK137" s="602"/>
      <c r="HL137" s="602"/>
      <c r="HM137" s="673"/>
      <c r="HN137" s="62"/>
      <c r="HO137" s="673"/>
      <c r="HP137" s="673">
        <f t="shared" si="456"/>
        <v>0</v>
      </c>
      <c r="HQ137" s="539"/>
      <c r="HR137" s="539"/>
      <c r="HS137" s="539"/>
      <c r="HT137" s="539"/>
      <c r="HU137" s="539"/>
      <c r="HV137" s="673"/>
      <c r="HW137" s="673">
        <f t="shared" si="422"/>
        <v>0</v>
      </c>
      <c r="HX137" s="539"/>
    </row>
    <row r="138" spans="1:232 16317:16317" ht="15" customHeight="1">
      <c r="A138" s="510" t="s">
        <v>435</v>
      </c>
      <c r="B138" s="31" t="s">
        <v>59</v>
      </c>
      <c r="C138" s="31" t="s">
        <v>92</v>
      </c>
      <c r="D138" s="31">
        <v>2024</v>
      </c>
      <c r="E138" s="31"/>
      <c r="F138" s="31"/>
      <c r="G138" s="31"/>
      <c r="H138" s="31" t="s">
        <v>287</v>
      </c>
      <c r="I138" s="31"/>
      <c r="J138" s="31" t="s">
        <v>436</v>
      </c>
      <c r="K138" s="180" t="s">
        <v>643</v>
      </c>
      <c r="L138" s="114" t="s">
        <v>437</v>
      </c>
      <c r="M138" s="115"/>
      <c r="N138" s="116"/>
      <c r="O138" s="142">
        <f>1707+1545</f>
        <v>3252</v>
      </c>
      <c r="P138" s="142">
        <v>567840</v>
      </c>
      <c r="Q138" s="142">
        <v>567840</v>
      </c>
      <c r="R138" s="142">
        <f t="shared" si="425"/>
        <v>37856</v>
      </c>
      <c r="S138" s="142">
        <f t="shared" si="426"/>
        <v>174.61254612546125</v>
      </c>
      <c r="T138" s="148">
        <f t="shared" si="427"/>
        <v>174.61254612546125</v>
      </c>
      <c r="U138" s="148" t="e">
        <f t="shared" si="433"/>
        <v>#DIV/0!</v>
      </c>
      <c r="V138" s="148">
        <f t="shared" si="428"/>
        <v>37856</v>
      </c>
      <c r="W138" s="142">
        <f t="shared" si="429"/>
        <v>216.8</v>
      </c>
      <c r="X138" s="143"/>
      <c r="Y138" s="525">
        <f t="shared" si="434"/>
        <v>46.125461254612546</v>
      </c>
      <c r="Z138" s="143"/>
      <c r="AA138" s="143"/>
      <c r="AB138" s="144"/>
      <c r="AC138" s="32" t="s">
        <v>10</v>
      </c>
      <c r="AD138" s="493">
        <f t="shared" si="416"/>
        <v>15</v>
      </c>
      <c r="AE138" s="494">
        <f t="shared" si="435"/>
        <v>15</v>
      </c>
      <c r="AF138" s="42"/>
      <c r="AG138" s="31">
        <v>15</v>
      </c>
      <c r="AH138" s="42"/>
      <c r="AI138" s="42"/>
      <c r="AJ138" s="797"/>
      <c r="AK138" s="276"/>
      <c r="AL138" s="586">
        <f t="shared" si="436"/>
        <v>0</v>
      </c>
      <c r="AM138" s="8">
        <f t="shared" si="437"/>
        <v>0</v>
      </c>
      <c r="AN138" s="35"/>
      <c r="AO138" s="35"/>
      <c r="AP138" s="35"/>
      <c r="AQ138" s="53"/>
      <c r="AR138" s="53"/>
      <c r="AS138" s="53"/>
      <c r="AT138" s="53"/>
      <c r="AU138" s="53"/>
      <c r="AV138" s="35"/>
      <c r="AW138" s="51"/>
      <c r="AX138" s="53"/>
      <c r="AY138" s="35"/>
      <c r="AZ138" s="34"/>
      <c r="BA138" s="31"/>
      <c r="BB138" s="31"/>
      <c r="BC138" s="31"/>
      <c r="BD138" s="31"/>
      <c r="BE138" s="31"/>
      <c r="BF138" s="126"/>
      <c r="BG138" s="126"/>
      <c r="BH138" s="31"/>
      <c r="BI138" s="31"/>
      <c r="BJ138" s="660"/>
      <c r="BK138" s="660"/>
      <c r="BL138" s="661"/>
      <c r="BM138" s="659">
        <f t="shared" si="438"/>
        <v>0</v>
      </c>
      <c r="BN138" s="578" t="s">
        <v>235</v>
      </c>
      <c r="BO138" s="110"/>
      <c r="BP138" s="139"/>
      <c r="BQ138" s="654">
        <f t="shared" si="457"/>
        <v>0</v>
      </c>
      <c r="BR138" s="638"/>
      <c r="BS138" s="110"/>
      <c r="BT138" s="110"/>
      <c r="BU138" s="202"/>
      <c r="BV138" s="201">
        <f t="shared" si="439"/>
        <v>731</v>
      </c>
      <c r="BW138" s="439"/>
      <c r="BX138" s="201" t="str">
        <f t="shared" si="440"/>
        <v>oui</v>
      </c>
      <c r="BY138" s="557">
        <f t="shared" si="441"/>
        <v>-1526.9333333333334</v>
      </c>
      <c r="BZ138" s="439">
        <f t="shared" si="442"/>
        <v>0</v>
      </c>
      <c r="CA138" s="439">
        <f t="shared" si="443"/>
        <v>0</v>
      </c>
      <c r="CB138" s="341"/>
      <c r="CC138" s="341"/>
      <c r="CD138" s="341"/>
      <c r="CE138" s="343" t="str">
        <f t="shared" si="444"/>
        <v>0</v>
      </c>
      <c r="CF138" s="341"/>
      <c r="CG138" s="341"/>
      <c r="CH138" s="343" t="str">
        <f t="shared" si="445"/>
        <v>0</v>
      </c>
      <c r="CI138" s="341"/>
      <c r="CJ138" s="341"/>
      <c r="CK138" s="343" t="str">
        <f t="shared" si="446"/>
        <v>0</v>
      </c>
      <c r="CL138" s="341"/>
      <c r="CM138" s="341"/>
      <c r="CN138" s="343" t="str">
        <f t="shared" si="447"/>
        <v>0</v>
      </c>
      <c r="CO138" s="341"/>
      <c r="CP138" s="341"/>
      <c r="CQ138" s="343" t="str">
        <f t="shared" si="448"/>
        <v>0</v>
      </c>
      <c r="CR138" s="290"/>
      <c r="CS138" s="342"/>
      <c r="CT138" s="330"/>
      <c r="CU138" s="331"/>
      <c r="CV138" s="332"/>
      <c r="CW138" s="330"/>
      <c r="CX138" s="449">
        <v>45108</v>
      </c>
      <c r="CY138" s="233"/>
      <c r="CZ138" s="284">
        <f t="shared" si="415"/>
        <v>1503.6</v>
      </c>
      <c r="DA138" s="332" t="str">
        <f t="shared" si="397"/>
        <v>0</v>
      </c>
      <c r="DB138" s="450">
        <v>43</v>
      </c>
      <c r="DC138" s="169">
        <f t="shared" si="398"/>
        <v>46</v>
      </c>
      <c r="DD138" s="330"/>
      <c r="DE138" s="335">
        <f t="shared" ca="1" si="458"/>
        <v>43950</v>
      </c>
      <c r="DF138" s="332" t="str">
        <f t="shared" ca="1" si="411"/>
        <v>0</v>
      </c>
      <c r="DG138" s="330"/>
      <c r="DH138" s="348">
        <f t="shared" ca="1" si="459"/>
        <v>43950</v>
      </c>
      <c r="DI138" s="333" t="str">
        <f t="shared" ca="1" si="399"/>
        <v>0</v>
      </c>
      <c r="DJ138" s="334"/>
      <c r="DK138" s="348">
        <f t="shared" ca="1" si="460"/>
        <v>43950</v>
      </c>
      <c r="DL138" s="332" t="str">
        <f t="shared" ca="1" si="421"/>
        <v>0</v>
      </c>
      <c r="DM138" s="335">
        <v>43543</v>
      </c>
      <c r="DN138" s="335">
        <f t="shared" ca="1" si="461"/>
        <v>43950</v>
      </c>
      <c r="DO138" s="332">
        <f t="shared" ca="1" si="400"/>
        <v>407</v>
      </c>
      <c r="DP138" s="336"/>
      <c r="DQ138" s="336"/>
      <c r="DR138" s="332" t="str">
        <f t="shared" si="401"/>
        <v>0</v>
      </c>
      <c r="DS138" s="335"/>
      <c r="DT138" s="335">
        <f t="shared" ca="1" si="462"/>
        <v>43950</v>
      </c>
      <c r="DU138" s="332" t="str">
        <f t="shared" ca="1" si="402"/>
        <v>0</v>
      </c>
      <c r="DV138" s="335">
        <v>43620</v>
      </c>
      <c r="DW138" s="335">
        <f t="shared" ca="1" si="463"/>
        <v>43950</v>
      </c>
      <c r="DX138" s="332">
        <f t="shared" ca="1" si="403"/>
        <v>330</v>
      </c>
      <c r="DY138" s="335"/>
      <c r="DZ138" s="335"/>
      <c r="EA138" s="335"/>
      <c r="EB138" s="477">
        <f t="shared" si="423"/>
        <v>46419</v>
      </c>
      <c r="EC138" s="476">
        <f t="shared" si="464"/>
        <v>46508</v>
      </c>
      <c r="ED138" s="473">
        <f t="shared" si="417"/>
        <v>2.9666666666666668</v>
      </c>
      <c r="EE138" s="605">
        <f t="shared" ca="1" si="465"/>
        <v>85.266666666666666</v>
      </c>
      <c r="EF138" s="476">
        <f t="shared" ca="1" si="466"/>
        <v>44680</v>
      </c>
      <c r="EG138" s="535"/>
      <c r="EH138" s="526"/>
      <c r="EI138" s="536">
        <f t="shared" si="467"/>
        <v>46633</v>
      </c>
      <c r="EJ138" s="295"/>
      <c r="EK138" s="534">
        <f t="shared" si="384"/>
        <v>46447</v>
      </c>
      <c r="EL138" s="476">
        <f t="shared" si="468"/>
        <v>46539</v>
      </c>
      <c r="EM138" s="368"/>
      <c r="EN138" s="471">
        <f>(DATEDIF(EK138,EL138,"d"))/30</f>
        <v>3.0666666666666669</v>
      </c>
      <c r="EO138" s="457"/>
      <c r="EP138" s="173">
        <f t="shared" si="430"/>
        <v>0</v>
      </c>
      <c r="EQ138" s="77"/>
      <c r="ER138" s="353"/>
      <c r="ES138" s="353"/>
      <c r="ET138" s="353"/>
      <c r="EU138" s="353"/>
      <c r="EV138" s="482"/>
      <c r="EW138" s="483" t="e">
        <f t="shared" si="449"/>
        <v>#DIV/0!</v>
      </c>
      <c r="EX138" s="350"/>
      <c r="EY138" s="362"/>
      <c r="EZ138" s="355"/>
      <c r="FA138" s="355"/>
      <c r="FB138" s="126">
        <f t="shared" ca="1" si="385"/>
        <v>44680</v>
      </c>
      <c r="FC138" s="80"/>
      <c r="FD138" s="80"/>
      <c r="FE138" s="80"/>
      <c r="FF138" s="80"/>
      <c r="FG138" s="80"/>
      <c r="FH138" s="31"/>
      <c r="FI138" s="194">
        <f t="shared" si="424"/>
        <v>46874</v>
      </c>
      <c r="FJ138" s="194"/>
      <c r="FK138" s="31"/>
      <c r="FL138" s="31"/>
      <c r="FM138" s="31"/>
      <c r="FN138" s="31"/>
      <c r="FO138" s="31"/>
      <c r="FP138" s="31"/>
      <c r="FQ138" s="31"/>
      <c r="FR138" s="31"/>
      <c r="FS138" s="31"/>
      <c r="FT138" s="31"/>
      <c r="FU138" s="31"/>
      <c r="FV138" s="31"/>
      <c r="FW138" s="31"/>
      <c r="FX138" s="529"/>
      <c r="FY138" s="652">
        <f t="shared" si="418"/>
        <v>0</v>
      </c>
      <c r="FZ138" s="550">
        <f t="shared" si="471"/>
        <v>0</v>
      </c>
      <c r="GA138" s="45">
        <f t="shared" si="412"/>
        <v>0</v>
      </c>
      <c r="GB138" s="602">
        <f t="shared" si="469"/>
        <v>0</v>
      </c>
      <c r="GC138" s="28" t="e">
        <f t="shared" si="419"/>
        <v>#DIV/0!</v>
      </c>
      <c r="GD138" s="28" t="e">
        <f>#REF!/AD138</f>
        <v>#REF!</v>
      </c>
      <c r="GE138" s="45"/>
      <c r="GF138" s="417"/>
      <c r="GG138" s="28"/>
      <c r="GH138" s="45">
        <f t="shared" si="470"/>
        <v>0</v>
      </c>
      <c r="GI138" s="59"/>
      <c r="GJ138" s="59"/>
      <c r="GK138" s="408">
        <f t="shared" si="432"/>
        <v>0</v>
      </c>
      <c r="GL138" s="45"/>
      <c r="GM138" s="45"/>
      <c r="GN138" s="45"/>
      <c r="GO138" s="60" t="e">
        <f t="shared" si="420"/>
        <v>#DIV/0!</v>
      </c>
      <c r="GP138" s="45"/>
      <c r="GQ138" s="45"/>
      <c r="GR138" s="45"/>
      <c r="GS138" s="28">
        <f t="shared" si="450"/>
        <v>0</v>
      </c>
      <c r="GT138" s="28">
        <f t="shared" si="451"/>
        <v>0</v>
      </c>
      <c r="GU138" s="682"/>
      <c r="GV138" s="682"/>
      <c r="GW138" s="682" t="e">
        <f>(#REF!+#REF!+GV138)/AD138</f>
        <v>#REF!</v>
      </c>
      <c r="GX138" s="682"/>
      <c r="GY138" s="682">
        <f t="shared" si="452"/>
        <v>0</v>
      </c>
      <c r="GZ138" s="681" t="e">
        <f t="shared" ref="GZ138:GZ152" si="472">(GE138+GM138+GV138+GX138)/(GU138+FZ138-HA138)</f>
        <v>#DIV/0!</v>
      </c>
      <c r="HA138" s="682"/>
      <c r="HB138" s="682"/>
      <c r="HC138" s="45"/>
      <c r="HD138" s="602"/>
      <c r="HE138" s="608" t="e">
        <f t="shared" si="453"/>
        <v>#DIV/0!</v>
      </c>
      <c r="HF138" s="602">
        <f t="shared" si="454"/>
        <v>0</v>
      </c>
      <c r="HG138" s="602">
        <f t="shared" ca="1" si="455"/>
        <v>0</v>
      </c>
      <c r="HH138" s="608" t="e">
        <f t="shared" ref="HH138:HH144" ca="1" si="473">(HD138+HG138)/FZ138</f>
        <v>#DIV/0!</v>
      </c>
      <c r="HI138" s="602"/>
      <c r="HJ138" s="602">
        <f t="shared" ref="HJ138:HJ152" si="474">GB138-HI138</f>
        <v>0</v>
      </c>
      <c r="HK138" s="602" t="e">
        <f t="shared" ref="HK138:HK152" si="475">HI138/GB138</f>
        <v>#DIV/0!</v>
      </c>
      <c r="HL138" s="602"/>
      <c r="HM138" s="673"/>
      <c r="HN138" s="62"/>
      <c r="HO138" s="673"/>
      <c r="HP138" s="673">
        <f t="shared" si="456"/>
        <v>0</v>
      </c>
      <c r="HQ138" s="539"/>
      <c r="HR138" s="539"/>
      <c r="HS138" s="539"/>
      <c r="HT138" s="539"/>
      <c r="HU138" s="539"/>
      <c r="HV138" s="673"/>
      <c r="HW138" s="673">
        <f t="shared" si="422"/>
        <v>0</v>
      </c>
      <c r="HX138" s="539"/>
    </row>
    <row r="139" spans="1:232 16317:16317" ht="15" customHeight="1">
      <c r="A139" s="510" t="s">
        <v>646</v>
      </c>
      <c r="B139" s="31" t="s">
        <v>14</v>
      </c>
      <c r="C139" s="31" t="s">
        <v>90</v>
      </c>
      <c r="D139" s="31">
        <v>2024</v>
      </c>
      <c r="E139" s="31"/>
      <c r="F139" s="31"/>
      <c r="G139" s="31"/>
      <c r="H139" s="33"/>
      <c r="I139" s="31"/>
      <c r="J139" s="31" t="s">
        <v>445</v>
      </c>
      <c r="K139" s="180" t="s">
        <v>647</v>
      </c>
      <c r="L139" s="114"/>
      <c r="M139" s="115"/>
      <c r="N139" s="116"/>
      <c r="O139" s="142">
        <v>7800</v>
      </c>
      <c r="P139" s="142">
        <v>330000</v>
      </c>
      <c r="Q139" s="142">
        <v>330000</v>
      </c>
      <c r="R139" s="142">
        <f t="shared" si="425"/>
        <v>22000</v>
      </c>
      <c r="S139" s="142">
        <f t="shared" si="426"/>
        <v>42.307692307692307</v>
      </c>
      <c r="T139" s="148">
        <f t="shared" si="427"/>
        <v>42.307692307692307</v>
      </c>
      <c r="U139" s="148" t="e">
        <f t="shared" si="433"/>
        <v>#DIV/0!</v>
      </c>
      <c r="V139" s="148">
        <f t="shared" si="428"/>
        <v>22000</v>
      </c>
      <c r="W139" s="142">
        <f t="shared" si="429"/>
        <v>520</v>
      </c>
      <c r="X139" s="143"/>
      <c r="Y139" s="525">
        <f t="shared" si="434"/>
        <v>19.23076923076923</v>
      </c>
      <c r="Z139" s="143"/>
      <c r="AA139" s="143"/>
      <c r="AB139" s="144"/>
      <c r="AC139" s="31" t="s">
        <v>10</v>
      </c>
      <c r="AD139" s="493">
        <f t="shared" si="416"/>
        <v>15</v>
      </c>
      <c r="AE139" s="494">
        <f t="shared" si="435"/>
        <v>15</v>
      </c>
      <c r="AF139" s="42"/>
      <c r="AG139" s="31">
        <v>15</v>
      </c>
      <c r="AH139" s="42"/>
      <c r="AI139" s="42"/>
      <c r="AJ139" s="797"/>
      <c r="AK139" s="276"/>
      <c r="AL139" s="586">
        <f t="shared" si="436"/>
        <v>0</v>
      </c>
      <c r="AM139" s="8">
        <f t="shared" si="437"/>
        <v>0</v>
      </c>
      <c r="AN139" s="35"/>
      <c r="AO139" s="35"/>
      <c r="AP139" s="35"/>
      <c r="AQ139" s="53"/>
      <c r="AR139" s="53"/>
      <c r="AS139" s="53"/>
      <c r="AT139" s="53"/>
      <c r="AU139" s="53"/>
      <c r="AV139" s="35"/>
      <c r="AW139" s="51"/>
      <c r="AX139" s="53"/>
      <c r="AY139" s="35"/>
      <c r="AZ139" s="34"/>
      <c r="BA139" s="31"/>
      <c r="BB139" s="31"/>
      <c r="BC139" s="504" t="e">
        <f>BB139/AJ139</f>
        <v>#DIV/0!</v>
      </c>
      <c r="BD139" s="388" t="e">
        <f>BB139/AK139</f>
        <v>#DIV/0!</v>
      </c>
      <c r="BE139" s="392">
        <f>BB139/AD139</f>
        <v>0</v>
      </c>
      <c r="BF139" s="165"/>
      <c r="BG139" s="165"/>
      <c r="BH139" s="126"/>
      <c r="BI139" s="126"/>
      <c r="BJ139" s="660"/>
      <c r="BK139" s="660"/>
      <c r="BL139" s="661"/>
      <c r="BM139" s="659">
        <f t="shared" si="438"/>
        <v>0</v>
      </c>
      <c r="BN139" s="578" t="s">
        <v>235</v>
      </c>
      <c r="BO139" s="110"/>
      <c r="BP139" s="139"/>
      <c r="BQ139" s="654">
        <f t="shared" si="457"/>
        <v>0</v>
      </c>
      <c r="BR139" s="638"/>
      <c r="BS139" s="110"/>
      <c r="BT139" s="110"/>
      <c r="BU139" s="202"/>
      <c r="BV139" s="201">
        <f t="shared" si="439"/>
        <v>731</v>
      </c>
      <c r="BW139" s="439"/>
      <c r="BX139" s="201" t="str">
        <f t="shared" si="440"/>
        <v>oui</v>
      </c>
      <c r="BY139" s="557">
        <f t="shared" si="441"/>
        <v>-1528.9666666666667</v>
      </c>
      <c r="BZ139" s="439">
        <f t="shared" si="442"/>
        <v>0</v>
      </c>
      <c r="CA139" s="439">
        <f t="shared" si="443"/>
        <v>0</v>
      </c>
      <c r="CB139" s="339"/>
      <c r="CC139" s="341"/>
      <c r="CD139" s="341"/>
      <c r="CE139" s="343" t="str">
        <f t="shared" si="444"/>
        <v>0</v>
      </c>
      <c r="CF139" s="341"/>
      <c r="CG139" s="341"/>
      <c r="CH139" s="343" t="str">
        <f t="shared" si="445"/>
        <v>0</v>
      </c>
      <c r="CI139" s="341"/>
      <c r="CJ139" s="341"/>
      <c r="CK139" s="343" t="str">
        <f t="shared" si="446"/>
        <v>0</v>
      </c>
      <c r="CL139" s="341"/>
      <c r="CM139" s="341"/>
      <c r="CN139" s="343" t="str">
        <f t="shared" si="447"/>
        <v>0</v>
      </c>
      <c r="CO139" s="341"/>
      <c r="CP139" s="341"/>
      <c r="CQ139" s="343" t="str">
        <f t="shared" si="448"/>
        <v>0</v>
      </c>
      <c r="CR139" s="290"/>
      <c r="CS139" s="345"/>
      <c r="CT139" s="330"/>
      <c r="CU139" s="331"/>
      <c r="CV139" s="332"/>
      <c r="CW139" s="330"/>
      <c r="CX139" s="449">
        <v>45108</v>
      </c>
      <c r="CY139" s="233"/>
      <c r="CZ139" s="284">
        <f t="shared" si="415"/>
        <v>1503.6</v>
      </c>
      <c r="DA139" s="332" t="str">
        <f t="shared" si="397"/>
        <v>0</v>
      </c>
      <c r="DB139" s="450">
        <v>45</v>
      </c>
      <c r="DC139" s="169">
        <f t="shared" si="398"/>
        <v>48</v>
      </c>
      <c r="DD139" s="330"/>
      <c r="DE139" s="335">
        <f t="shared" ca="1" si="458"/>
        <v>43950</v>
      </c>
      <c r="DF139" s="332" t="str">
        <f t="shared" ca="1" si="411"/>
        <v>0</v>
      </c>
      <c r="DG139" s="330"/>
      <c r="DH139" s="348">
        <f t="shared" ca="1" si="459"/>
        <v>43950</v>
      </c>
      <c r="DI139" s="333" t="str">
        <f t="shared" ca="1" si="399"/>
        <v>0</v>
      </c>
      <c r="DJ139" s="334"/>
      <c r="DK139" s="348">
        <f t="shared" ca="1" si="460"/>
        <v>43950</v>
      </c>
      <c r="DL139" s="332" t="str">
        <f t="shared" ca="1" si="421"/>
        <v>0</v>
      </c>
      <c r="DM139" s="335">
        <v>43545</v>
      </c>
      <c r="DN139" s="335">
        <f t="shared" ca="1" si="461"/>
        <v>43950</v>
      </c>
      <c r="DO139" s="332">
        <f t="shared" ca="1" si="400"/>
        <v>405</v>
      </c>
      <c r="DP139" s="336"/>
      <c r="DQ139" s="336"/>
      <c r="DR139" s="332" t="str">
        <f t="shared" si="401"/>
        <v>0</v>
      </c>
      <c r="DS139" s="335"/>
      <c r="DT139" s="335">
        <f t="shared" ca="1" si="462"/>
        <v>43950</v>
      </c>
      <c r="DU139" s="332" t="str">
        <f t="shared" ca="1" si="402"/>
        <v>0</v>
      </c>
      <c r="DV139" s="335">
        <v>43622</v>
      </c>
      <c r="DW139" s="335">
        <f t="shared" ca="1" si="463"/>
        <v>43950</v>
      </c>
      <c r="DX139" s="332">
        <f t="shared" ca="1" si="403"/>
        <v>328</v>
      </c>
      <c r="DY139" s="335"/>
      <c r="DZ139" s="335"/>
      <c r="EA139" s="335"/>
      <c r="EB139" s="477">
        <f t="shared" si="423"/>
        <v>46478</v>
      </c>
      <c r="EC139" s="476">
        <f t="shared" si="464"/>
        <v>46569</v>
      </c>
      <c r="ED139" s="473">
        <f t="shared" si="417"/>
        <v>3.0333333333333332</v>
      </c>
      <c r="EE139" s="605">
        <f t="shared" ca="1" si="465"/>
        <v>87.3</v>
      </c>
      <c r="EF139" s="476">
        <f t="shared" ca="1" si="466"/>
        <v>44680</v>
      </c>
      <c r="EG139" s="535"/>
      <c r="EH139" s="526"/>
      <c r="EI139" s="536">
        <f t="shared" si="467"/>
        <v>46694</v>
      </c>
      <c r="EJ139" s="295"/>
      <c r="EK139" s="534">
        <f t="shared" si="384"/>
        <v>46508</v>
      </c>
      <c r="EL139" s="476">
        <f t="shared" si="468"/>
        <v>46600</v>
      </c>
      <c r="EM139" s="368"/>
      <c r="EN139" s="471">
        <f>(DATEDIF(EK139,EL139,"d"))/30</f>
        <v>3.0666666666666669</v>
      </c>
      <c r="EO139" s="457"/>
      <c r="EP139" s="173">
        <f t="shared" si="430"/>
        <v>0</v>
      </c>
      <c r="EQ139" s="77"/>
      <c r="ER139" s="353"/>
      <c r="ES139" s="353"/>
      <c r="ET139" s="353"/>
      <c r="EU139" s="353"/>
      <c r="EV139" s="482"/>
      <c r="EW139" s="483" t="e">
        <f t="shared" si="449"/>
        <v>#DIV/0!</v>
      </c>
      <c r="EX139" s="350"/>
      <c r="EY139" s="362"/>
      <c r="EZ139" s="355"/>
      <c r="FA139" s="355"/>
      <c r="FB139" s="126">
        <f t="shared" ca="1" si="385"/>
        <v>44680</v>
      </c>
      <c r="FC139" s="80"/>
      <c r="FD139" s="80"/>
      <c r="FE139" s="80"/>
      <c r="FF139" s="80"/>
      <c r="FG139" s="80"/>
      <c r="FH139" s="31"/>
      <c r="FI139" s="194">
        <f t="shared" si="424"/>
        <v>46935</v>
      </c>
      <c r="FJ139" s="194"/>
      <c r="FK139" s="31"/>
      <c r="FL139" s="31"/>
      <c r="FM139" s="31"/>
      <c r="FN139" s="31"/>
      <c r="FO139" s="31"/>
      <c r="FP139" s="31"/>
      <c r="FQ139" s="31"/>
      <c r="FR139" s="31"/>
      <c r="FS139" s="31"/>
      <c r="FT139" s="31"/>
      <c r="FU139" s="31"/>
      <c r="FV139" s="31"/>
      <c r="FW139" s="31"/>
      <c r="FX139" s="529"/>
      <c r="FY139" s="652">
        <f t="shared" si="418"/>
        <v>0</v>
      </c>
      <c r="FZ139" s="550">
        <f t="shared" si="471"/>
        <v>0</v>
      </c>
      <c r="GA139" s="45">
        <f t="shared" si="412"/>
        <v>0</v>
      </c>
      <c r="GB139" s="602">
        <f t="shared" si="469"/>
        <v>0</v>
      </c>
      <c r="GC139" s="28" t="e">
        <f t="shared" si="419"/>
        <v>#DIV/0!</v>
      </c>
      <c r="GD139" s="28" t="e">
        <f>#REF!/AD139</f>
        <v>#REF!</v>
      </c>
      <c r="GE139" s="45"/>
      <c r="GF139" s="417"/>
      <c r="GG139" s="28"/>
      <c r="GH139" s="45">
        <f t="shared" si="470"/>
        <v>0</v>
      </c>
      <c r="GI139" s="59"/>
      <c r="GJ139" s="59"/>
      <c r="GK139" s="408">
        <f t="shared" si="432"/>
        <v>0</v>
      </c>
      <c r="GL139" s="45"/>
      <c r="GM139" s="45"/>
      <c r="GN139" s="45"/>
      <c r="GO139" s="60" t="e">
        <f t="shared" si="420"/>
        <v>#DIV/0!</v>
      </c>
      <c r="GP139" s="45"/>
      <c r="GQ139" s="45"/>
      <c r="GR139" s="45"/>
      <c r="GS139" s="28">
        <f t="shared" si="450"/>
        <v>0</v>
      </c>
      <c r="GT139" s="28">
        <f t="shared" si="451"/>
        <v>0</v>
      </c>
      <c r="GU139" s="682"/>
      <c r="GV139" s="682"/>
      <c r="GW139" s="682" t="e">
        <f>(#REF!+#REF!+GV139)/AD139</f>
        <v>#REF!</v>
      </c>
      <c r="GX139" s="682"/>
      <c r="GY139" s="682">
        <f t="shared" si="452"/>
        <v>0</v>
      </c>
      <c r="GZ139" s="681" t="e">
        <f t="shared" si="472"/>
        <v>#DIV/0!</v>
      </c>
      <c r="HA139" s="682"/>
      <c r="HB139" s="682"/>
      <c r="HC139" s="45"/>
      <c r="HD139" s="602"/>
      <c r="HE139" s="608" t="e">
        <f t="shared" si="453"/>
        <v>#DIV/0!</v>
      </c>
      <c r="HF139" s="602">
        <f t="shared" si="454"/>
        <v>0</v>
      </c>
      <c r="HG139" s="602">
        <f t="shared" ca="1" si="455"/>
        <v>0</v>
      </c>
      <c r="HH139" s="608" t="e">
        <f t="shared" ca="1" si="473"/>
        <v>#DIV/0!</v>
      </c>
      <c r="HI139" s="602"/>
      <c r="HJ139" s="602">
        <f t="shared" si="474"/>
        <v>0</v>
      </c>
      <c r="HK139" s="602" t="e">
        <f t="shared" si="475"/>
        <v>#DIV/0!</v>
      </c>
      <c r="HL139" s="602"/>
      <c r="HM139" s="673"/>
      <c r="HN139" s="62"/>
      <c r="HO139" s="673"/>
      <c r="HP139" s="673">
        <f t="shared" si="456"/>
        <v>0</v>
      </c>
      <c r="HQ139" s="539"/>
      <c r="HR139" s="539"/>
      <c r="HS139" s="539"/>
      <c r="HT139" s="539"/>
      <c r="HU139" s="539"/>
      <c r="HV139" s="673"/>
      <c r="HW139" s="673">
        <f t="shared" si="422"/>
        <v>0</v>
      </c>
      <c r="HX139" s="539"/>
    </row>
    <row r="140" spans="1:232 16317:16317" ht="15" customHeight="1">
      <c r="A140" s="510" t="s">
        <v>662</v>
      </c>
      <c r="B140" s="31" t="s">
        <v>21</v>
      </c>
      <c r="C140" s="31" t="s">
        <v>90</v>
      </c>
      <c r="D140" s="31">
        <v>2022</v>
      </c>
      <c r="E140" s="31"/>
      <c r="F140" s="31"/>
      <c r="G140" s="31"/>
      <c r="H140" s="33"/>
      <c r="I140" s="31"/>
      <c r="J140" s="31" t="s">
        <v>663</v>
      </c>
      <c r="K140" s="180" t="s">
        <v>664</v>
      </c>
      <c r="L140" s="114" t="s">
        <v>659</v>
      </c>
      <c r="M140" s="115"/>
      <c r="N140" s="116"/>
      <c r="O140" s="142">
        <v>45094</v>
      </c>
      <c r="P140" s="142">
        <v>2460000</v>
      </c>
      <c r="Q140" s="142"/>
      <c r="R140" s="142">
        <f t="shared" si="425"/>
        <v>27333.333333333332</v>
      </c>
      <c r="S140" s="142">
        <f t="shared" si="426"/>
        <v>54.552712112476158</v>
      </c>
      <c r="T140" s="148">
        <f t="shared" si="427"/>
        <v>0</v>
      </c>
      <c r="U140" s="148" t="e">
        <f t="shared" si="433"/>
        <v>#DIV/0!</v>
      </c>
      <c r="V140" s="148">
        <f t="shared" si="428"/>
        <v>0</v>
      </c>
      <c r="W140" s="142">
        <f t="shared" si="429"/>
        <v>501.04444444444442</v>
      </c>
      <c r="X140" s="143"/>
      <c r="Y140" s="522">
        <f t="shared" si="434"/>
        <v>19.958309309442498</v>
      </c>
      <c r="Z140" s="143" t="s">
        <v>630</v>
      </c>
      <c r="AA140" s="143">
        <v>1300</v>
      </c>
      <c r="AB140" s="144">
        <v>0.1</v>
      </c>
      <c r="AC140" s="31" t="s">
        <v>10</v>
      </c>
      <c r="AD140" s="493">
        <f t="shared" si="416"/>
        <v>90</v>
      </c>
      <c r="AE140" s="494">
        <f t="shared" si="435"/>
        <v>90</v>
      </c>
      <c r="AF140" s="42"/>
      <c r="AG140" s="31">
        <v>90</v>
      </c>
      <c r="AH140" s="42"/>
      <c r="AI140" s="42"/>
      <c r="AJ140" s="797"/>
      <c r="AK140" s="276"/>
      <c r="AL140" s="586">
        <f t="shared" si="436"/>
        <v>0</v>
      </c>
      <c r="AM140" s="8">
        <f t="shared" si="437"/>
        <v>0</v>
      </c>
      <c r="AN140" s="35"/>
      <c r="AO140" s="35"/>
      <c r="AP140" s="35"/>
      <c r="AQ140" s="53"/>
      <c r="AR140" s="53"/>
      <c r="AS140" s="53"/>
      <c r="AT140" s="53"/>
      <c r="AU140" s="53"/>
      <c r="AV140" s="35"/>
      <c r="AW140" s="51"/>
      <c r="AX140" s="53"/>
      <c r="AY140" s="35"/>
      <c r="AZ140" s="34"/>
      <c r="BA140" s="31"/>
      <c r="BB140" s="31"/>
      <c r="BC140" s="31"/>
      <c r="BD140" s="31"/>
      <c r="BE140" s="31"/>
      <c r="BF140" s="165"/>
      <c r="BG140" s="165"/>
      <c r="BH140" s="126"/>
      <c r="BI140" s="126"/>
      <c r="BJ140" s="660"/>
      <c r="BK140" s="660"/>
      <c r="BL140" s="661"/>
      <c r="BM140" s="659">
        <f t="shared" si="438"/>
        <v>0</v>
      </c>
      <c r="BN140" s="578" t="s">
        <v>235</v>
      </c>
      <c r="BO140" s="110"/>
      <c r="BP140" s="139"/>
      <c r="BQ140" s="654">
        <f t="shared" si="457"/>
        <v>0</v>
      </c>
      <c r="BR140" s="638"/>
      <c r="BS140" s="110"/>
      <c r="BT140" s="110"/>
      <c r="BU140" s="202"/>
      <c r="BV140" s="201">
        <f t="shared" si="439"/>
        <v>731</v>
      </c>
      <c r="BW140" s="439"/>
      <c r="BX140" s="201" t="str">
        <f t="shared" si="440"/>
        <v>oui</v>
      </c>
      <c r="BY140" s="557">
        <f t="shared" si="441"/>
        <v>-1532.0333333333333</v>
      </c>
      <c r="BZ140" s="439">
        <f t="shared" si="442"/>
        <v>0</v>
      </c>
      <c r="CA140" s="439">
        <f t="shared" si="443"/>
        <v>0</v>
      </c>
      <c r="CB140" s="339"/>
      <c r="CC140" s="341"/>
      <c r="CD140" s="341"/>
      <c r="CE140" s="343" t="str">
        <f t="shared" si="444"/>
        <v>0</v>
      </c>
      <c r="CF140" s="341"/>
      <c r="CG140" s="341"/>
      <c r="CH140" s="343" t="str">
        <f t="shared" si="445"/>
        <v>0</v>
      </c>
      <c r="CI140" s="341"/>
      <c r="CJ140" s="341"/>
      <c r="CK140" s="343" t="str">
        <f t="shared" si="446"/>
        <v>0</v>
      </c>
      <c r="CL140" s="341"/>
      <c r="CM140" s="341"/>
      <c r="CN140" s="343" t="str">
        <f t="shared" si="447"/>
        <v>0</v>
      </c>
      <c r="CO140" s="341"/>
      <c r="CP140" s="341"/>
      <c r="CQ140" s="343" t="str">
        <f t="shared" si="448"/>
        <v>0</v>
      </c>
      <c r="CR140" s="290"/>
      <c r="CS140" s="345"/>
      <c r="CT140" s="330"/>
      <c r="CU140" s="331"/>
      <c r="CV140" s="332" t="str">
        <f>IF(AND(CT140&gt;0,CU140&gt;0),CU140-CT140,"0")</f>
        <v>0</v>
      </c>
      <c r="CW140" s="330"/>
      <c r="CX140" s="449">
        <v>45108</v>
      </c>
      <c r="CY140" s="233"/>
      <c r="CZ140" s="284">
        <f t="shared" si="415"/>
        <v>1503.6</v>
      </c>
      <c r="DA140" s="332" t="str">
        <f t="shared" si="397"/>
        <v>0</v>
      </c>
      <c r="DB140" s="450">
        <v>48</v>
      </c>
      <c r="DC140" s="169">
        <f t="shared" si="398"/>
        <v>51</v>
      </c>
      <c r="DD140" s="330"/>
      <c r="DE140" s="335">
        <f t="shared" ca="1" si="458"/>
        <v>43950</v>
      </c>
      <c r="DF140" s="332" t="str">
        <f t="shared" ca="1" si="411"/>
        <v>0</v>
      </c>
      <c r="DG140" s="330"/>
      <c r="DH140" s="348">
        <f t="shared" ca="1" si="459"/>
        <v>43950</v>
      </c>
      <c r="DI140" s="333" t="str">
        <f t="shared" ca="1" si="399"/>
        <v>0</v>
      </c>
      <c r="DJ140" s="334"/>
      <c r="DK140" s="348">
        <f t="shared" ca="1" si="460"/>
        <v>43950</v>
      </c>
      <c r="DL140" s="332" t="str">
        <f t="shared" ca="1" si="421"/>
        <v>0</v>
      </c>
      <c r="DM140" s="335">
        <v>43548</v>
      </c>
      <c r="DN140" s="335">
        <f t="shared" ca="1" si="461"/>
        <v>43950</v>
      </c>
      <c r="DO140" s="332">
        <f t="shared" ca="1" si="400"/>
        <v>402</v>
      </c>
      <c r="DP140" s="336"/>
      <c r="DQ140" s="336"/>
      <c r="DR140" s="332" t="str">
        <f t="shared" si="401"/>
        <v>0</v>
      </c>
      <c r="DS140" s="335"/>
      <c r="DT140" s="335">
        <f t="shared" ca="1" si="462"/>
        <v>43950</v>
      </c>
      <c r="DU140" s="332" t="str">
        <f t="shared" ca="1" si="402"/>
        <v>0</v>
      </c>
      <c r="DV140" s="335">
        <v>43625</v>
      </c>
      <c r="DW140" s="335">
        <f t="shared" ca="1" si="463"/>
        <v>43950</v>
      </c>
      <c r="DX140" s="332">
        <f t="shared" ca="1" si="403"/>
        <v>325</v>
      </c>
      <c r="DY140" s="335"/>
      <c r="DZ140" s="335"/>
      <c r="EA140" s="335"/>
      <c r="EB140" s="477">
        <f t="shared" si="423"/>
        <v>46569</v>
      </c>
      <c r="EC140" s="476">
        <f t="shared" si="464"/>
        <v>46661</v>
      </c>
      <c r="ED140" s="473">
        <f t="shared" si="417"/>
        <v>3.0666666666666669</v>
      </c>
      <c r="EE140" s="605">
        <f t="shared" ca="1" si="465"/>
        <v>90.36666666666666</v>
      </c>
      <c r="EF140" s="476">
        <f t="shared" ca="1" si="466"/>
        <v>44680</v>
      </c>
      <c r="EG140" s="535"/>
      <c r="EH140" s="526"/>
      <c r="EI140" s="536">
        <f t="shared" si="467"/>
        <v>46786</v>
      </c>
      <c r="EJ140" s="295"/>
      <c r="EK140" s="534">
        <f t="shared" si="384"/>
        <v>46600</v>
      </c>
      <c r="EL140" s="476">
        <f t="shared" si="468"/>
        <v>46692</v>
      </c>
      <c r="EM140" s="368"/>
      <c r="EN140" s="471">
        <f>(EL140-EK140)/30</f>
        <v>3.0666666666666669</v>
      </c>
      <c r="EO140" s="457"/>
      <c r="EP140" s="173">
        <f t="shared" si="430"/>
        <v>0</v>
      </c>
      <c r="EQ140" s="77"/>
      <c r="ER140" s="353"/>
      <c r="ES140" s="353"/>
      <c r="ET140" s="353"/>
      <c r="EU140" s="353"/>
      <c r="EV140" s="482"/>
      <c r="EW140" s="483" t="e">
        <f t="shared" si="449"/>
        <v>#DIV/0!</v>
      </c>
      <c r="EX140" s="350"/>
      <c r="EY140" s="362"/>
      <c r="EZ140" s="355"/>
      <c r="FA140" s="355"/>
      <c r="FB140" s="126">
        <f t="shared" ca="1" si="385"/>
        <v>44680</v>
      </c>
      <c r="FC140" s="80"/>
      <c r="FD140" s="80"/>
      <c r="FE140" s="80"/>
      <c r="FF140" s="80"/>
      <c r="FG140" s="80"/>
      <c r="FH140" s="31"/>
      <c r="FI140" s="194">
        <f t="shared" si="424"/>
        <v>47027</v>
      </c>
      <c r="FJ140" s="194"/>
      <c r="FK140" s="31"/>
      <c r="FL140" s="31"/>
      <c r="FM140" s="31"/>
      <c r="FN140" s="31"/>
      <c r="FO140" s="31"/>
      <c r="FP140" s="31"/>
      <c r="FQ140" s="31"/>
      <c r="FR140" s="31"/>
      <c r="FS140" s="31"/>
      <c r="FT140" s="31"/>
      <c r="FU140" s="31"/>
      <c r="FV140" s="31"/>
      <c r="FW140" s="31"/>
      <c r="FX140" s="529"/>
      <c r="FY140" s="652">
        <f t="shared" si="418"/>
        <v>0</v>
      </c>
      <c r="FZ140" s="550">
        <f t="shared" si="471"/>
        <v>0</v>
      </c>
      <c r="GA140" s="45">
        <f t="shared" si="412"/>
        <v>0</v>
      </c>
      <c r="GB140" s="602">
        <f t="shared" si="469"/>
        <v>0</v>
      </c>
      <c r="GC140" s="28" t="e">
        <f t="shared" si="419"/>
        <v>#DIV/0!</v>
      </c>
      <c r="GD140" s="28">
        <f>FZ140/AD140</f>
        <v>0</v>
      </c>
      <c r="GE140" s="45"/>
      <c r="GF140" s="417"/>
      <c r="GG140" s="28">
        <f>GE140/AD140</f>
        <v>0</v>
      </c>
      <c r="GH140" s="45">
        <f t="shared" si="470"/>
        <v>0</v>
      </c>
      <c r="GI140" s="59"/>
      <c r="GJ140" s="59"/>
      <c r="GK140" s="408">
        <f t="shared" si="432"/>
        <v>0</v>
      </c>
      <c r="GL140" s="45"/>
      <c r="GM140" s="45"/>
      <c r="GN140" s="45"/>
      <c r="GO140" s="60" t="e">
        <f t="shared" si="420"/>
        <v>#DIV/0!</v>
      </c>
      <c r="GP140" s="45"/>
      <c r="GQ140" s="45"/>
      <c r="GR140" s="45"/>
      <c r="GS140" s="28">
        <f t="shared" si="450"/>
        <v>0</v>
      </c>
      <c r="GT140" s="28">
        <f t="shared" si="451"/>
        <v>0</v>
      </c>
      <c r="GU140" s="682"/>
      <c r="GV140" s="682"/>
      <c r="GW140" s="682" t="e">
        <f>(#REF!+#REF!+GV140)/AD140</f>
        <v>#REF!</v>
      </c>
      <c r="GX140" s="682"/>
      <c r="GY140" s="682">
        <f t="shared" si="452"/>
        <v>0</v>
      </c>
      <c r="GZ140" s="681" t="e">
        <f t="shared" si="472"/>
        <v>#DIV/0!</v>
      </c>
      <c r="HA140" s="682"/>
      <c r="HB140" s="682"/>
      <c r="HC140" s="45"/>
      <c r="HD140" s="602"/>
      <c r="HE140" s="608" t="e">
        <f t="shared" si="453"/>
        <v>#DIV/0!</v>
      </c>
      <c r="HF140" s="602">
        <f t="shared" si="454"/>
        <v>0</v>
      </c>
      <c r="HG140" s="602">
        <f t="shared" ca="1" si="455"/>
        <v>0</v>
      </c>
      <c r="HH140" s="608" t="e">
        <f t="shared" ca="1" si="473"/>
        <v>#DIV/0!</v>
      </c>
      <c r="HI140" s="602"/>
      <c r="HJ140" s="602">
        <f t="shared" si="474"/>
        <v>0</v>
      </c>
      <c r="HK140" s="602" t="e">
        <f t="shared" si="475"/>
        <v>#DIV/0!</v>
      </c>
      <c r="HL140" s="602"/>
      <c r="HM140" s="673"/>
      <c r="HN140" s="62"/>
      <c r="HO140" s="673"/>
      <c r="HP140" s="673">
        <f t="shared" si="456"/>
        <v>0</v>
      </c>
      <c r="HQ140" s="539"/>
      <c r="HR140" s="539"/>
      <c r="HS140" s="539"/>
      <c r="HT140" s="539"/>
      <c r="HU140" s="539"/>
      <c r="HV140" s="673"/>
      <c r="HW140" s="673"/>
      <c r="HX140" s="539"/>
    </row>
    <row r="141" spans="1:232 16317:16317" ht="15" customHeight="1">
      <c r="A141" s="495" t="s">
        <v>657</v>
      </c>
      <c r="B141" s="31" t="s">
        <v>21</v>
      </c>
      <c r="C141" s="31" t="s">
        <v>90</v>
      </c>
      <c r="D141" s="31"/>
      <c r="E141" s="31"/>
      <c r="F141" s="31"/>
      <c r="G141" s="31"/>
      <c r="H141" s="33"/>
      <c r="I141" s="31"/>
      <c r="J141" s="31" t="s">
        <v>336</v>
      </c>
      <c r="K141" s="180" t="s">
        <v>658</v>
      </c>
      <c r="L141" s="114" t="s">
        <v>659</v>
      </c>
      <c r="M141" s="115"/>
      <c r="N141" s="116"/>
      <c r="O141" s="142">
        <v>52241</v>
      </c>
      <c r="P141" s="142"/>
      <c r="Q141" s="142"/>
      <c r="R141" s="142">
        <f t="shared" si="425"/>
        <v>0</v>
      </c>
      <c r="S141" s="142">
        <f t="shared" si="426"/>
        <v>0</v>
      </c>
      <c r="T141" s="148">
        <f t="shared" si="427"/>
        <v>0</v>
      </c>
      <c r="U141" s="148" t="e">
        <f t="shared" si="433"/>
        <v>#DIV/0!</v>
      </c>
      <c r="V141" s="148">
        <f t="shared" si="428"/>
        <v>0</v>
      </c>
      <c r="W141" s="142">
        <f t="shared" si="429"/>
        <v>870.68333333333328</v>
      </c>
      <c r="X141" s="143"/>
      <c r="Y141" s="522">
        <f t="shared" si="434"/>
        <v>11.485231905974235</v>
      </c>
      <c r="Z141" s="143"/>
      <c r="AA141" s="143"/>
      <c r="AB141" s="144"/>
      <c r="AC141" s="31" t="s">
        <v>10</v>
      </c>
      <c r="AD141" s="493">
        <f t="shared" si="416"/>
        <v>60</v>
      </c>
      <c r="AE141" s="493">
        <f t="shared" si="435"/>
        <v>60</v>
      </c>
      <c r="AF141" s="42"/>
      <c r="AG141" s="31">
        <v>60</v>
      </c>
      <c r="AH141" s="42"/>
      <c r="AI141" s="42"/>
      <c r="AJ141" s="797"/>
      <c r="AK141" s="278"/>
      <c r="AL141" s="586">
        <f t="shared" si="436"/>
        <v>0</v>
      </c>
      <c r="AM141" s="35">
        <f t="shared" si="437"/>
        <v>0</v>
      </c>
      <c r="AN141" s="35"/>
      <c r="AO141" s="35"/>
      <c r="AP141" s="35"/>
      <c r="AQ141" s="53"/>
      <c r="AR141" s="53"/>
      <c r="AS141" s="53"/>
      <c r="AT141" s="53"/>
      <c r="AU141" s="53"/>
      <c r="AV141" s="35"/>
      <c r="AW141" s="51"/>
      <c r="AX141" s="53"/>
      <c r="AY141" s="35"/>
      <c r="AZ141" s="34"/>
      <c r="BA141" s="31"/>
      <c r="BB141" s="31"/>
      <c r="BC141" s="31"/>
      <c r="BD141" s="31"/>
      <c r="BE141" s="31"/>
      <c r="BF141" s="165"/>
      <c r="BG141" s="165"/>
      <c r="BH141" s="126"/>
      <c r="BI141" s="126"/>
      <c r="BJ141" s="660"/>
      <c r="BK141" s="660"/>
      <c r="BL141" s="661"/>
      <c r="BM141" s="659">
        <f t="shared" si="438"/>
        <v>0</v>
      </c>
      <c r="BN141" s="578" t="s">
        <v>235</v>
      </c>
      <c r="BO141" s="110"/>
      <c r="BP141" s="139"/>
      <c r="BQ141" s="654">
        <f t="shared" si="457"/>
        <v>0</v>
      </c>
      <c r="BR141" s="638"/>
      <c r="BS141" s="110"/>
      <c r="BT141" s="110"/>
      <c r="BU141" s="202"/>
      <c r="BV141" s="201">
        <f t="shared" si="439"/>
        <v>731</v>
      </c>
      <c r="BW141" s="439"/>
      <c r="BX141" s="201" t="str">
        <f t="shared" si="440"/>
        <v>oui</v>
      </c>
      <c r="BY141" s="557">
        <f t="shared" si="441"/>
        <v>-1533.0333333333333</v>
      </c>
      <c r="BZ141" s="439">
        <f t="shared" si="442"/>
        <v>0</v>
      </c>
      <c r="CA141" s="439">
        <f t="shared" si="443"/>
        <v>0</v>
      </c>
      <c r="CB141" s="339"/>
      <c r="CC141" s="341"/>
      <c r="CD141" s="341"/>
      <c r="CE141" s="343" t="str">
        <f t="shared" si="444"/>
        <v>0</v>
      </c>
      <c r="CF141" s="341"/>
      <c r="CG141" s="341"/>
      <c r="CH141" s="343" t="str">
        <f t="shared" si="445"/>
        <v>0</v>
      </c>
      <c r="CI141" s="341"/>
      <c r="CJ141" s="341"/>
      <c r="CK141" s="343" t="str">
        <f t="shared" si="446"/>
        <v>0</v>
      </c>
      <c r="CL141" s="341"/>
      <c r="CM141" s="341"/>
      <c r="CN141" s="343" t="str">
        <f t="shared" si="447"/>
        <v>0</v>
      </c>
      <c r="CO141" s="341"/>
      <c r="CP141" s="341"/>
      <c r="CQ141" s="343" t="str">
        <f t="shared" si="448"/>
        <v>0</v>
      </c>
      <c r="CR141" s="290"/>
      <c r="CS141" s="345"/>
      <c r="CT141" s="330"/>
      <c r="CU141" s="331"/>
      <c r="CV141" s="332"/>
      <c r="CW141" s="727"/>
      <c r="CX141" s="728">
        <v>44743</v>
      </c>
      <c r="CY141" s="233"/>
      <c r="CZ141" s="172">
        <f t="shared" si="415"/>
        <v>1491.4333333333334</v>
      </c>
      <c r="DA141" s="332" t="str">
        <f t="shared" si="397"/>
        <v>0</v>
      </c>
      <c r="DB141" s="450">
        <v>61</v>
      </c>
      <c r="DC141" s="169">
        <f t="shared" si="398"/>
        <v>64</v>
      </c>
      <c r="DD141" s="330"/>
      <c r="DE141" s="335">
        <f t="shared" ca="1" si="458"/>
        <v>43950</v>
      </c>
      <c r="DF141" s="332" t="str">
        <f t="shared" ca="1" si="411"/>
        <v>0</v>
      </c>
      <c r="DG141" s="498"/>
      <c r="DH141" s="335">
        <f t="shared" ca="1" si="459"/>
        <v>43950</v>
      </c>
      <c r="DI141" s="333" t="str">
        <f t="shared" ca="1" si="399"/>
        <v>0</v>
      </c>
      <c r="DJ141" s="572"/>
      <c r="DK141" s="335">
        <f t="shared" ca="1" si="460"/>
        <v>43950</v>
      </c>
      <c r="DL141" s="332" t="str">
        <f t="shared" ca="1" si="421"/>
        <v>0</v>
      </c>
      <c r="DM141" s="335">
        <v>43561</v>
      </c>
      <c r="DN141" s="335">
        <f t="shared" ca="1" si="461"/>
        <v>43950</v>
      </c>
      <c r="DO141" s="332">
        <f t="shared" ca="1" si="400"/>
        <v>389</v>
      </c>
      <c r="DP141" s="336"/>
      <c r="DQ141" s="336"/>
      <c r="DR141" s="332" t="str">
        <f t="shared" si="401"/>
        <v>0</v>
      </c>
      <c r="DS141" s="335"/>
      <c r="DT141" s="335">
        <f t="shared" ca="1" si="462"/>
        <v>43950</v>
      </c>
      <c r="DU141" s="332" t="str">
        <f t="shared" ca="1" si="402"/>
        <v>0</v>
      </c>
      <c r="DV141" s="335">
        <v>43638</v>
      </c>
      <c r="DW141" s="335">
        <f t="shared" ca="1" si="463"/>
        <v>43950</v>
      </c>
      <c r="DX141" s="332">
        <f t="shared" ca="1" si="403"/>
        <v>312</v>
      </c>
      <c r="DY141" s="335"/>
      <c r="DZ141" s="335"/>
      <c r="EA141" s="825"/>
      <c r="EB141" s="727">
        <f t="shared" si="423"/>
        <v>46600</v>
      </c>
      <c r="EC141" s="565">
        <f t="shared" si="464"/>
        <v>46692</v>
      </c>
      <c r="ED141" s="564">
        <f t="shared" si="417"/>
        <v>3.0666666666666669</v>
      </c>
      <c r="EE141" s="605">
        <f t="shared" ca="1" si="465"/>
        <v>91.4</v>
      </c>
      <c r="EF141" s="535">
        <f t="shared" ca="1" si="466"/>
        <v>44680</v>
      </c>
      <c r="EG141" s="526"/>
      <c r="EH141" s="536"/>
      <c r="EI141" s="475">
        <f t="shared" si="467"/>
        <v>46815</v>
      </c>
      <c r="EJ141" s="729"/>
      <c r="EK141" s="476">
        <f t="shared" si="384"/>
        <v>46631</v>
      </c>
      <c r="EL141" s="536">
        <f t="shared" si="468"/>
        <v>46722</v>
      </c>
      <c r="EM141" s="731"/>
      <c r="EN141" s="732">
        <f t="shared" ref="EN141:EN152" si="476">(DATEDIF(EK141,EL141,"d"))/30</f>
        <v>3.0333333333333332</v>
      </c>
      <c r="EO141" s="173"/>
      <c r="EP141" s="173">
        <f t="shared" si="430"/>
        <v>0</v>
      </c>
      <c r="EQ141" s="77"/>
      <c r="ER141" s="353"/>
      <c r="ES141" s="353"/>
      <c r="ET141" s="353"/>
      <c r="EU141" s="482"/>
      <c r="EV141" s="353"/>
      <c r="EW141" s="483" t="e">
        <f t="shared" si="449"/>
        <v>#DIV/0!</v>
      </c>
      <c r="EX141" s="350"/>
      <c r="EY141" s="370"/>
      <c r="EZ141" s="355"/>
      <c r="FA141" s="350"/>
      <c r="FB141" s="126">
        <f t="shared" ca="1" si="385"/>
        <v>44680</v>
      </c>
      <c r="FC141" s="80"/>
      <c r="FD141" s="80"/>
      <c r="FE141" s="80"/>
      <c r="FF141" s="80"/>
      <c r="FG141" s="80"/>
      <c r="FH141" s="31"/>
      <c r="FI141" s="194">
        <f t="shared" si="424"/>
        <v>47058</v>
      </c>
      <c r="FJ141" s="194"/>
      <c r="FK141" s="31"/>
      <c r="FL141" s="31"/>
      <c r="FM141" s="31"/>
      <c r="FN141" s="31"/>
      <c r="FO141" s="31"/>
      <c r="FP141" s="31"/>
      <c r="FQ141" s="31"/>
      <c r="FR141" s="31"/>
      <c r="FS141" s="31"/>
      <c r="FT141" s="31"/>
      <c r="FU141" s="31"/>
      <c r="FV141" s="31"/>
      <c r="FW141" s="31"/>
      <c r="FX141" s="529"/>
      <c r="FY141" s="652">
        <f t="shared" si="418"/>
        <v>0</v>
      </c>
      <c r="FZ141" s="550">
        <f t="shared" si="471"/>
        <v>0</v>
      </c>
      <c r="GA141" s="45">
        <f t="shared" si="412"/>
        <v>0</v>
      </c>
      <c r="GB141" s="602">
        <f t="shared" si="469"/>
        <v>0</v>
      </c>
      <c r="GC141" s="28" t="e">
        <f t="shared" si="419"/>
        <v>#DIV/0!</v>
      </c>
      <c r="GD141" s="28" t="e">
        <f>#REF!/AD141</f>
        <v>#REF!</v>
      </c>
      <c r="GE141" s="773"/>
      <c r="GF141" s="815"/>
      <c r="GG141" s="28"/>
      <c r="GH141" s="45">
        <f t="shared" si="470"/>
        <v>0</v>
      </c>
      <c r="GI141" s="59"/>
      <c r="GJ141" s="59"/>
      <c r="GK141" s="408">
        <f t="shared" si="432"/>
        <v>0</v>
      </c>
      <c r="GL141" s="45"/>
      <c r="GM141" s="45"/>
      <c r="GN141" s="9"/>
      <c r="GO141" s="60" t="e">
        <f t="shared" si="420"/>
        <v>#DIV/0!</v>
      </c>
      <c r="GP141" s="45"/>
      <c r="GQ141" s="45"/>
      <c r="GR141" s="45"/>
      <c r="GS141" s="28">
        <f t="shared" si="450"/>
        <v>0</v>
      </c>
      <c r="GT141" s="28">
        <f t="shared" si="451"/>
        <v>0</v>
      </c>
      <c r="GU141" s="682"/>
      <c r="GV141" s="682"/>
      <c r="GW141" s="682" t="e">
        <f>(#REF!+#REF!+GV141)/AD141</f>
        <v>#REF!</v>
      </c>
      <c r="GX141" s="682"/>
      <c r="GY141" s="682">
        <f t="shared" si="452"/>
        <v>0</v>
      </c>
      <c r="GZ141" s="681" t="e">
        <f t="shared" si="472"/>
        <v>#DIV/0!</v>
      </c>
      <c r="HA141" s="682"/>
      <c r="HB141" s="682"/>
      <c r="HC141" s="9"/>
      <c r="HD141" s="602"/>
      <c r="HE141" s="608" t="e">
        <f t="shared" si="453"/>
        <v>#DIV/0!</v>
      </c>
      <c r="HF141" s="602">
        <f t="shared" si="454"/>
        <v>0</v>
      </c>
      <c r="HG141" s="602">
        <f t="shared" ca="1" si="455"/>
        <v>0</v>
      </c>
      <c r="HH141" s="608" t="e">
        <f t="shared" ca="1" si="473"/>
        <v>#DIV/0!</v>
      </c>
      <c r="HI141" s="602"/>
      <c r="HJ141" s="602">
        <f t="shared" si="474"/>
        <v>0</v>
      </c>
      <c r="HK141" s="602" t="e">
        <f t="shared" si="475"/>
        <v>#DIV/0!</v>
      </c>
      <c r="HL141" s="602"/>
      <c r="HM141" s="673"/>
      <c r="HN141" s="62"/>
      <c r="HO141" s="673"/>
      <c r="HP141" s="673">
        <f t="shared" si="456"/>
        <v>0</v>
      </c>
      <c r="HQ141" s="539"/>
      <c r="HR141" s="539"/>
      <c r="HS141" s="539"/>
      <c r="HT141" s="539"/>
      <c r="HU141" s="539"/>
      <c r="HV141" s="673"/>
      <c r="HW141" s="673">
        <f t="shared" ref="HW141:HW153" si="477">HV141+HP141+HO141+HM141</f>
        <v>0</v>
      </c>
      <c r="HX141" s="539"/>
      <c r="XCO141" s="63"/>
    </row>
    <row r="142" spans="1:232 16317:16317" ht="15" customHeight="1">
      <c r="A142" s="844" t="s">
        <v>305</v>
      </c>
      <c r="B142" s="31" t="s">
        <v>21</v>
      </c>
      <c r="C142" s="31" t="s">
        <v>90</v>
      </c>
      <c r="D142" s="31" t="s">
        <v>645</v>
      </c>
      <c r="E142" s="31"/>
      <c r="F142" s="31"/>
      <c r="G142" s="31"/>
      <c r="H142" s="31" t="s">
        <v>184</v>
      </c>
      <c r="I142" s="31"/>
      <c r="J142" s="31" t="s">
        <v>567</v>
      </c>
      <c r="K142" s="180" t="s">
        <v>660</v>
      </c>
      <c r="L142" s="114"/>
      <c r="M142" s="115"/>
      <c r="N142" s="116"/>
      <c r="O142" s="148">
        <v>6396</v>
      </c>
      <c r="P142" s="148">
        <v>703760</v>
      </c>
      <c r="Q142" s="148">
        <v>703760</v>
      </c>
      <c r="R142" s="142">
        <f t="shared" si="425"/>
        <v>19020.54054054054</v>
      </c>
      <c r="S142" s="142">
        <f t="shared" si="426"/>
        <v>110.03126954346466</v>
      </c>
      <c r="T142" s="148">
        <f t="shared" si="427"/>
        <v>110.03126954346466</v>
      </c>
      <c r="U142" s="148">
        <f t="shared" si="433"/>
        <v>253.39079776911251</v>
      </c>
      <c r="V142" s="148">
        <f t="shared" si="428"/>
        <v>19020.54054054054</v>
      </c>
      <c r="W142" s="142">
        <f t="shared" si="429"/>
        <v>172.86486486486487</v>
      </c>
      <c r="X142" s="151"/>
      <c r="Y142" s="525">
        <f t="shared" si="434"/>
        <v>57.848655409631021</v>
      </c>
      <c r="Z142" s="151" t="s">
        <v>616</v>
      </c>
      <c r="AA142" s="143">
        <v>730</v>
      </c>
      <c r="AB142" s="144">
        <v>0.2</v>
      </c>
      <c r="AC142" s="31" t="s">
        <v>10</v>
      </c>
      <c r="AD142" s="493">
        <f t="shared" si="416"/>
        <v>37</v>
      </c>
      <c r="AE142" s="494">
        <f t="shared" si="435"/>
        <v>37</v>
      </c>
      <c r="AF142" s="42"/>
      <c r="AG142" s="31">
        <v>37</v>
      </c>
      <c r="AH142" s="42"/>
      <c r="AI142" s="42"/>
      <c r="AJ142" s="797"/>
      <c r="AK142" s="276">
        <v>2777.37</v>
      </c>
      <c r="AL142" s="586">
        <f t="shared" si="436"/>
        <v>0</v>
      </c>
      <c r="AM142" s="8">
        <f t="shared" si="437"/>
        <v>75.064054054054054</v>
      </c>
      <c r="AN142" s="35"/>
      <c r="AO142" s="35"/>
      <c r="AP142" s="35"/>
      <c r="AQ142" s="37"/>
      <c r="AR142" s="37"/>
      <c r="AS142" s="37"/>
      <c r="AT142" s="37"/>
      <c r="AU142" s="37"/>
      <c r="AV142" s="35"/>
      <c r="AW142" s="51"/>
      <c r="AX142" s="521">
        <v>598</v>
      </c>
      <c r="AY142" s="35">
        <v>1.5</v>
      </c>
      <c r="AZ142" s="34" t="s">
        <v>398</v>
      </c>
      <c r="BA142" s="31" t="s">
        <v>99</v>
      </c>
      <c r="BB142" s="31"/>
      <c r="BC142" s="31"/>
      <c r="BD142" s="31"/>
      <c r="BE142" s="31"/>
      <c r="BF142" s="130"/>
      <c r="BG142" s="130"/>
      <c r="BH142" s="31"/>
      <c r="BI142" s="31"/>
      <c r="BJ142" s="660"/>
      <c r="BK142" s="660"/>
      <c r="BL142" s="661"/>
      <c r="BM142" s="659">
        <f t="shared" si="438"/>
        <v>0</v>
      </c>
      <c r="BN142" s="578" t="s">
        <v>235</v>
      </c>
      <c r="BO142" s="110"/>
      <c r="BP142" s="139"/>
      <c r="BQ142" s="654">
        <f t="shared" si="457"/>
        <v>0</v>
      </c>
      <c r="BR142" s="638"/>
      <c r="BS142" s="110"/>
      <c r="BT142" s="110"/>
      <c r="BU142" s="202"/>
      <c r="BV142" s="201">
        <f t="shared" si="439"/>
        <v>731</v>
      </c>
      <c r="BW142" s="439"/>
      <c r="BX142" s="201" t="str">
        <f t="shared" si="440"/>
        <v>oui</v>
      </c>
      <c r="BY142" s="557">
        <f t="shared" si="441"/>
        <v>-1536.0666666666666</v>
      </c>
      <c r="BZ142" s="439">
        <f t="shared" si="442"/>
        <v>0</v>
      </c>
      <c r="CA142" s="439">
        <f t="shared" si="443"/>
        <v>0</v>
      </c>
      <c r="CB142" s="341"/>
      <c r="CC142" s="340"/>
      <c r="CD142" s="340"/>
      <c r="CE142" s="343" t="str">
        <f t="shared" si="444"/>
        <v>0</v>
      </c>
      <c r="CF142" s="341"/>
      <c r="CG142" s="341"/>
      <c r="CH142" s="343" t="str">
        <f t="shared" si="445"/>
        <v>0</v>
      </c>
      <c r="CI142" s="344"/>
      <c r="CJ142" s="341"/>
      <c r="CK142" s="343" t="str">
        <f t="shared" si="446"/>
        <v>0</v>
      </c>
      <c r="CL142" s="344"/>
      <c r="CM142" s="341"/>
      <c r="CN142" s="343" t="str">
        <f t="shared" si="447"/>
        <v>0</v>
      </c>
      <c r="CO142" s="341"/>
      <c r="CP142" s="341"/>
      <c r="CQ142" s="343" t="str">
        <f t="shared" si="448"/>
        <v>0</v>
      </c>
      <c r="CR142" s="53"/>
      <c r="CS142" s="342"/>
      <c r="CT142" s="330"/>
      <c r="CU142" s="331"/>
      <c r="CV142" s="332"/>
      <c r="CW142" s="330"/>
      <c r="CX142" s="449">
        <v>45108</v>
      </c>
      <c r="CY142" s="235"/>
      <c r="CZ142" s="284">
        <f t="shared" si="415"/>
        <v>1503.6</v>
      </c>
      <c r="DA142" s="332" t="str">
        <f t="shared" si="397"/>
        <v>0</v>
      </c>
      <c r="DB142" s="450">
        <v>52</v>
      </c>
      <c r="DC142" s="169">
        <f t="shared" si="398"/>
        <v>55</v>
      </c>
      <c r="DD142" s="330"/>
      <c r="DE142" s="335">
        <f t="shared" ca="1" si="458"/>
        <v>43950</v>
      </c>
      <c r="DF142" s="332" t="str">
        <f t="shared" ca="1" si="411"/>
        <v>0</v>
      </c>
      <c r="DG142" s="330"/>
      <c r="DH142" s="348">
        <f t="shared" ca="1" si="459"/>
        <v>43950</v>
      </c>
      <c r="DI142" s="333" t="str">
        <f t="shared" ca="1" si="399"/>
        <v>0</v>
      </c>
      <c r="DJ142" s="572"/>
      <c r="DK142" s="348">
        <f t="shared" ca="1" si="460"/>
        <v>43950</v>
      </c>
      <c r="DL142" s="332" t="str">
        <f t="shared" ca="1" si="421"/>
        <v>0</v>
      </c>
      <c r="DM142" s="335">
        <v>43552</v>
      </c>
      <c r="DN142" s="335">
        <f t="shared" ca="1" si="461"/>
        <v>43950</v>
      </c>
      <c r="DO142" s="332">
        <f t="shared" ca="1" si="400"/>
        <v>398</v>
      </c>
      <c r="DP142" s="336"/>
      <c r="DQ142" s="336"/>
      <c r="DR142" s="332" t="str">
        <f t="shared" si="401"/>
        <v>0</v>
      </c>
      <c r="DS142" s="335"/>
      <c r="DT142" s="335">
        <f t="shared" ca="1" si="462"/>
        <v>43950</v>
      </c>
      <c r="DU142" s="332" t="str">
        <f t="shared" ca="1" si="402"/>
        <v>0</v>
      </c>
      <c r="DV142" s="335">
        <v>43629</v>
      </c>
      <c r="DW142" s="335">
        <f t="shared" ca="1" si="463"/>
        <v>43950</v>
      </c>
      <c r="DX142" s="332">
        <f t="shared" ca="1" si="403"/>
        <v>321</v>
      </c>
      <c r="DY142" s="335"/>
      <c r="DZ142" s="335"/>
      <c r="EA142" s="335"/>
      <c r="EB142" s="477">
        <f t="shared" si="423"/>
        <v>46692</v>
      </c>
      <c r="EC142" s="476">
        <f t="shared" si="464"/>
        <v>46784</v>
      </c>
      <c r="ED142" s="473">
        <f t="shared" si="417"/>
        <v>3.0666666666666669</v>
      </c>
      <c r="EE142" s="605">
        <f t="shared" ca="1" si="465"/>
        <v>94.466666666666669</v>
      </c>
      <c r="EF142" s="476">
        <f t="shared" ca="1" si="466"/>
        <v>44680</v>
      </c>
      <c r="EG142" s="535"/>
      <c r="EH142" s="526"/>
      <c r="EI142" s="536">
        <f t="shared" si="467"/>
        <v>46907</v>
      </c>
      <c r="EJ142" s="295"/>
      <c r="EK142" s="534">
        <f t="shared" si="384"/>
        <v>46722</v>
      </c>
      <c r="EL142" s="476">
        <f t="shared" si="468"/>
        <v>46813</v>
      </c>
      <c r="EM142" s="625"/>
      <c r="EN142" s="471">
        <f t="shared" si="476"/>
        <v>3.0333333333333332</v>
      </c>
      <c r="EO142" s="457"/>
      <c r="EP142" s="173">
        <f t="shared" si="430"/>
        <v>0</v>
      </c>
      <c r="EQ142" s="193"/>
      <c r="ER142" s="353"/>
      <c r="ES142" s="353">
        <v>0</v>
      </c>
      <c r="ET142" s="353"/>
      <c r="EU142" s="353"/>
      <c r="EV142" s="482"/>
      <c r="EW142" s="483" t="e">
        <f t="shared" si="449"/>
        <v>#DIV/0!</v>
      </c>
      <c r="EX142" s="350"/>
      <c r="EY142" s="362"/>
      <c r="EZ142" s="355"/>
      <c r="FA142" s="355"/>
      <c r="FB142" s="126">
        <f t="shared" ca="1" si="385"/>
        <v>44680</v>
      </c>
      <c r="FC142" s="80"/>
      <c r="FD142" s="80"/>
      <c r="FE142" s="80"/>
      <c r="FF142" s="80"/>
      <c r="FG142" s="80"/>
      <c r="FH142" s="31"/>
      <c r="FI142" s="194">
        <f t="shared" si="424"/>
        <v>47150</v>
      </c>
      <c r="FJ142" s="194"/>
      <c r="FK142" s="31"/>
      <c r="FL142" s="31"/>
      <c r="FM142" s="31"/>
      <c r="FN142" s="31"/>
      <c r="FO142" s="31"/>
      <c r="FP142" s="31"/>
      <c r="FQ142" s="31"/>
      <c r="FR142" s="31"/>
      <c r="FS142" s="31"/>
      <c r="FT142" s="31"/>
      <c r="FU142" s="31"/>
      <c r="FV142" s="31"/>
      <c r="FW142" s="31"/>
      <c r="FX142" s="529"/>
      <c r="FY142" s="652">
        <f t="shared" si="418"/>
        <v>0</v>
      </c>
      <c r="FZ142" s="550">
        <f t="shared" si="471"/>
        <v>0</v>
      </c>
      <c r="GA142" s="45">
        <f t="shared" si="412"/>
        <v>0</v>
      </c>
      <c r="GB142" s="602">
        <f t="shared" si="469"/>
        <v>0</v>
      </c>
      <c r="GC142" s="28">
        <f t="shared" si="419"/>
        <v>0</v>
      </c>
      <c r="GD142" s="28" t="e">
        <f>#REF!/AD142</f>
        <v>#REF!</v>
      </c>
      <c r="GE142" s="45"/>
      <c r="GF142" s="417"/>
      <c r="GG142" s="28">
        <f>GE142/AD142</f>
        <v>0</v>
      </c>
      <c r="GH142" s="45">
        <f t="shared" si="470"/>
        <v>0</v>
      </c>
      <c r="GI142" s="59"/>
      <c r="GJ142" s="59"/>
      <c r="GK142" s="408">
        <f t="shared" si="432"/>
        <v>0</v>
      </c>
      <c r="GL142" s="45"/>
      <c r="GM142" s="45"/>
      <c r="GN142" s="45"/>
      <c r="GO142" s="60" t="e">
        <f t="shared" si="420"/>
        <v>#DIV/0!</v>
      </c>
      <c r="GP142" s="45"/>
      <c r="GQ142" s="45"/>
      <c r="GR142" s="45"/>
      <c r="GS142" s="28">
        <f t="shared" si="450"/>
        <v>0</v>
      </c>
      <c r="GT142" s="28">
        <f t="shared" si="451"/>
        <v>0</v>
      </c>
      <c r="GU142" s="682"/>
      <c r="GV142" s="682"/>
      <c r="GW142" s="682" t="e">
        <f>(#REF!+#REF!+GV142)/AD142</f>
        <v>#REF!</v>
      </c>
      <c r="GX142" s="682"/>
      <c r="GY142" s="682">
        <f t="shared" si="452"/>
        <v>0</v>
      </c>
      <c r="GZ142" s="681" t="e">
        <f t="shared" si="472"/>
        <v>#DIV/0!</v>
      </c>
      <c r="HA142" s="682"/>
      <c r="HB142" s="682"/>
      <c r="HC142" s="45">
        <f>ES142</f>
        <v>0</v>
      </c>
      <c r="HD142" s="602"/>
      <c r="HE142" s="608" t="e">
        <f t="shared" si="453"/>
        <v>#DIV/0!</v>
      </c>
      <c r="HF142" s="602">
        <f t="shared" si="454"/>
        <v>0</v>
      </c>
      <c r="HG142" s="602">
        <f t="shared" ca="1" si="455"/>
        <v>0</v>
      </c>
      <c r="HH142" s="608" t="e">
        <f t="shared" ca="1" si="473"/>
        <v>#DIV/0!</v>
      </c>
      <c r="HI142" s="602"/>
      <c r="HJ142" s="602">
        <f t="shared" si="474"/>
        <v>0</v>
      </c>
      <c r="HK142" s="602" t="e">
        <f t="shared" si="475"/>
        <v>#DIV/0!</v>
      </c>
      <c r="HL142" s="602"/>
      <c r="HM142" s="673"/>
      <c r="HN142" s="62"/>
      <c r="HO142" s="673"/>
      <c r="HP142" s="673">
        <f t="shared" si="456"/>
        <v>0</v>
      </c>
      <c r="HQ142" s="539"/>
      <c r="HR142" s="539"/>
      <c r="HS142" s="539"/>
      <c r="HT142" s="539"/>
      <c r="HU142" s="539"/>
      <c r="HV142" s="673"/>
      <c r="HW142" s="673">
        <f t="shared" si="477"/>
        <v>0</v>
      </c>
      <c r="HX142" s="539"/>
    </row>
    <row r="143" spans="1:232 16317:16317" ht="15" customHeight="1">
      <c r="A143" s="58" t="s">
        <v>284</v>
      </c>
      <c r="B143" s="31" t="s">
        <v>21</v>
      </c>
      <c r="C143" s="31" t="s">
        <v>90</v>
      </c>
      <c r="D143" s="31" t="s">
        <v>645</v>
      </c>
      <c r="E143" s="31"/>
      <c r="F143" s="31"/>
      <c r="G143" s="31"/>
      <c r="H143" s="31" t="s">
        <v>184</v>
      </c>
      <c r="I143" s="31"/>
      <c r="J143" s="31" t="s">
        <v>653</v>
      </c>
      <c r="K143" s="180" t="s">
        <v>654</v>
      </c>
      <c r="L143" s="114"/>
      <c r="M143" s="115"/>
      <c r="N143" s="142"/>
      <c r="O143" s="142">
        <v>12700</v>
      </c>
      <c r="P143" s="142">
        <v>787400</v>
      </c>
      <c r="Q143" s="142"/>
      <c r="R143" s="142">
        <f t="shared" si="425"/>
        <v>13123.333333333334</v>
      </c>
      <c r="S143" s="142">
        <f t="shared" si="426"/>
        <v>62</v>
      </c>
      <c r="T143" s="148">
        <f t="shared" si="427"/>
        <v>0</v>
      </c>
      <c r="U143" s="148" t="e">
        <f t="shared" si="433"/>
        <v>#DIV/0!</v>
      </c>
      <c r="V143" s="148">
        <f t="shared" si="428"/>
        <v>0</v>
      </c>
      <c r="W143" s="142">
        <f t="shared" si="429"/>
        <v>211.66666666666666</v>
      </c>
      <c r="X143" s="143"/>
      <c r="Y143" s="522">
        <f t="shared" si="434"/>
        <v>47.244094488188978</v>
      </c>
      <c r="Z143" s="143" t="s">
        <v>630</v>
      </c>
      <c r="AA143" s="143"/>
      <c r="AB143" s="144"/>
      <c r="AC143" s="31" t="s">
        <v>10</v>
      </c>
      <c r="AD143" s="493">
        <f t="shared" si="416"/>
        <v>60</v>
      </c>
      <c r="AE143" s="494">
        <f t="shared" si="435"/>
        <v>60</v>
      </c>
      <c r="AF143" s="42"/>
      <c r="AG143" s="31">
        <v>60</v>
      </c>
      <c r="AH143" s="42"/>
      <c r="AI143" s="42"/>
      <c r="AJ143" s="796"/>
      <c r="AK143" s="276"/>
      <c r="AL143" s="586">
        <f t="shared" si="436"/>
        <v>0</v>
      </c>
      <c r="AM143" s="8">
        <f t="shared" si="437"/>
        <v>0</v>
      </c>
      <c r="AN143" s="35"/>
      <c r="AO143" s="35"/>
      <c r="AP143" s="35"/>
      <c r="AQ143" s="53"/>
      <c r="AR143" s="53"/>
      <c r="AS143" s="53"/>
      <c r="AT143" s="53"/>
      <c r="AU143" s="53"/>
      <c r="AV143" s="35"/>
      <c r="AW143" s="51"/>
      <c r="AX143" s="53"/>
      <c r="AY143" s="35"/>
      <c r="AZ143" s="34"/>
      <c r="BA143" s="31"/>
      <c r="BB143" s="31"/>
      <c r="BC143" s="31"/>
      <c r="BD143" s="31"/>
      <c r="BE143" s="31"/>
      <c r="BF143" s="164"/>
      <c r="BG143" s="164"/>
      <c r="BH143" s="31"/>
      <c r="BI143" s="31"/>
      <c r="BJ143" s="660"/>
      <c r="BK143" s="660"/>
      <c r="BL143" s="661"/>
      <c r="BM143" s="659">
        <f t="shared" si="438"/>
        <v>0</v>
      </c>
      <c r="BN143" s="578" t="s">
        <v>235</v>
      </c>
      <c r="BO143" s="110"/>
      <c r="BP143" s="139"/>
      <c r="BQ143" s="654">
        <f t="shared" si="457"/>
        <v>0</v>
      </c>
      <c r="BR143" s="638"/>
      <c r="BS143" s="110"/>
      <c r="BT143" s="110"/>
      <c r="BU143" s="202"/>
      <c r="BV143" s="201">
        <f t="shared" si="439"/>
        <v>731</v>
      </c>
      <c r="BW143" s="439"/>
      <c r="BX143" s="201" t="str">
        <f t="shared" si="440"/>
        <v>oui</v>
      </c>
      <c r="BY143" s="557">
        <f t="shared" si="441"/>
        <v>-1537.1</v>
      </c>
      <c r="BZ143" s="439">
        <f t="shared" si="442"/>
        <v>0</v>
      </c>
      <c r="CA143" s="439">
        <f t="shared" si="443"/>
        <v>0</v>
      </c>
      <c r="CB143" s="339"/>
      <c r="CC143" s="340"/>
      <c r="CD143" s="340"/>
      <c r="CE143" s="343" t="str">
        <f t="shared" si="444"/>
        <v>0</v>
      </c>
      <c r="CF143" s="341"/>
      <c r="CG143" s="341"/>
      <c r="CH143" s="343" t="str">
        <f t="shared" si="445"/>
        <v>0</v>
      </c>
      <c r="CI143" s="344"/>
      <c r="CJ143" s="341"/>
      <c r="CK143" s="343" t="str">
        <f t="shared" si="446"/>
        <v>0</v>
      </c>
      <c r="CL143" s="344"/>
      <c r="CM143" s="341"/>
      <c r="CN143" s="343" t="str">
        <f t="shared" si="447"/>
        <v>0</v>
      </c>
      <c r="CO143" s="341"/>
      <c r="CP143" s="341"/>
      <c r="CQ143" s="343" t="str">
        <f t="shared" si="448"/>
        <v>0</v>
      </c>
      <c r="CR143" s="290"/>
      <c r="CS143" s="345"/>
      <c r="CT143" s="330"/>
      <c r="CU143" s="331"/>
      <c r="CV143" s="332"/>
      <c r="CW143" s="330"/>
      <c r="CX143" s="449">
        <v>45108</v>
      </c>
      <c r="CY143" s="233"/>
      <c r="CZ143" s="284">
        <f t="shared" si="415"/>
        <v>1503.6</v>
      </c>
      <c r="DA143" s="332" t="str">
        <f t="shared" si="397"/>
        <v>0</v>
      </c>
      <c r="DB143" s="450">
        <v>53</v>
      </c>
      <c r="DC143" s="169">
        <f t="shared" si="398"/>
        <v>56</v>
      </c>
      <c r="DD143" s="330"/>
      <c r="DE143" s="335">
        <f t="shared" ca="1" si="458"/>
        <v>43950</v>
      </c>
      <c r="DF143" s="332" t="str">
        <f t="shared" ca="1" si="411"/>
        <v>0</v>
      </c>
      <c r="DG143" s="330"/>
      <c r="DH143" s="348">
        <f t="shared" ca="1" si="459"/>
        <v>43950</v>
      </c>
      <c r="DI143" s="333" t="str">
        <f t="shared" ca="1" si="399"/>
        <v>0</v>
      </c>
      <c r="DJ143" s="334"/>
      <c r="DK143" s="348">
        <f t="shared" ca="1" si="460"/>
        <v>43950</v>
      </c>
      <c r="DL143" s="332" t="str">
        <f t="shared" ca="1" si="421"/>
        <v>0</v>
      </c>
      <c r="DM143" s="335">
        <v>43553</v>
      </c>
      <c r="DN143" s="335">
        <f t="shared" ca="1" si="461"/>
        <v>43950</v>
      </c>
      <c r="DO143" s="332">
        <f t="shared" ca="1" si="400"/>
        <v>397</v>
      </c>
      <c r="DP143" s="336"/>
      <c r="DQ143" s="336"/>
      <c r="DR143" s="332" t="str">
        <f t="shared" si="401"/>
        <v>0</v>
      </c>
      <c r="DS143" s="335"/>
      <c r="DT143" s="335">
        <f t="shared" ca="1" si="462"/>
        <v>43950</v>
      </c>
      <c r="DU143" s="332" t="str">
        <f t="shared" ca="1" si="402"/>
        <v>0</v>
      </c>
      <c r="DV143" s="335">
        <v>43630</v>
      </c>
      <c r="DW143" s="335">
        <f t="shared" ca="1" si="463"/>
        <v>43950</v>
      </c>
      <c r="DX143" s="332">
        <f t="shared" ca="1" si="403"/>
        <v>320</v>
      </c>
      <c r="DY143" s="335"/>
      <c r="DZ143" s="335"/>
      <c r="EA143" s="335"/>
      <c r="EB143" s="477">
        <f t="shared" si="423"/>
        <v>46722</v>
      </c>
      <c r="EC143" s="476">
        <f t="shared" si="464"/>
        <v>46813</v>
      </c>
      <c r="ED143" s="473">
        <f t="shared" si="417"/>
        <v>3.0333333333333332</v>
      </c>
      <c r="EE143" s="605">
        <f t="shared" ca="1" si="465"/>
        <v>95.433333333333337</v>
      </c>
      <c r="EF143" s="476">
        <f t="shared" ca="1" si="466"/>
        <v>44680</v>
      </c>
      <c r="EG143" s="535"/>
      <c r="EH143" s="526"/>
      <c r="EI143" s="536">
        <f t="shared" si="467"/>
        <v>46937</v>
      </c>
      <c r="EJ143" s="295"/>
      <c r="EK143" s="534">
        <f t="shared" si="384"/>
        <v>46753</v>
      </c>
      <c r="EL143" s="476">
        <f t="shared" si="468"/>
        <v>46844</v>
      </c>
      <c r="EM143" s="368"/>
      <c r="EN143" s="471">
        <f t="shared" si="476"/>
        <v>3.0333333333333332</v>
      </c>
      <c r="EO143" s="461"/>
      <c r="EP143" s="173">
        <f t="shared" si="430"/>
        <v>0</v>
      </c>
      <c r="EQ143" s="77"/>
      <c r="ER143" s="353"/>
      <c r="ES143" s="353">
        <v>0</v>
      </c>
      <c r="ET143" s="353"/>
      <c r="EU143" s="353"/>
      <c r="EV143" s="482"/>
      <c r="EW143" s="483" t="e">
        <f t="shared" si="449"/>
        <v>#DIV/0!</v>
      </c>
      <c r="EX143" s="350"/>
      <c r="EY143" s="362"/>
      <c r="EZ143" s="355"/>
      <c r="FA143" s="355"/>
      <c r="FB143" s="126">
        <f t="shared" ca="1" si="385"/>
        <v>44680</v>
      </c>
      <c r="FC143" s="80"/>
      <c r="FD143" s="80"/>
      <c r="FE143" s="80"/>
      <c r="FF143" s="80"/>
      <c r="FG143" s="80"/>
      <c r="FH143" s="31"/>
      <c r="FI143" s="194">
        <f t="shared" si="424"/>
        <v>47178</v>
      </c>
      <c r="FJ143" s="194"/>
      <c r="FK143" s="31"/>
      <c r="FL143" s="31"/>
      <c r="FM143" s="31"/>
      <c r="FN143" s="31"/>
      <c r="FO143" s="31"/>
      <c r="FP143" s="31"/>
      <c r="FQ143" s="31"/>
      <c r="FR143" s="31"/>
      <c r="FS143" s="31"/>
      <c r="FT143" s="31"/>
      <c r="FU143" s="31"/>
      <c r="FV143" s="31"/>
      <c r="FW143" s="31"/>
      <c r="FX143" s="529"/>
      <c r="FY143" s="652">
        <f t="shared" si="418"/>
        <v>0</v>
      </c>
      <c r="FZ143" s="550">
        <f t="shared" si="471"/>
        <v>0</v>
      </c>
      <c r="GA143" s="45">
        <f t="shared" si="412"/>
        <v>0</v>
      </c>
      <c r="GB143" s="602">
        <f t="shared" si="469"/>
        <v>0</v>
      </c>
      <c r="GC143" s="28" t="e">
        <f t="shared" si="419"/>
        <v>#DIV/0!</v>
      </c>
      <c r="GD143" s="28" t="e">
        <f>#REF!/AD143</f>
        <v>#REF!</v>
      </c>
      <c r="GE143" s="45"/>
      <c r="GF143" s="417"/>
      <c r="GG143" s="28">
        <f>GE143/AD143</f>
        <v>0</v>
      </c>
      <c r="GH143" s="45">
        <f t="shared" si="470"/>
        <v>0</v>
      </c>
      <c r="GI143" s="59"/>
      <c r="GJ143" s="59"/>
      <c r="GK143" s="408">
        <f t="shared" si="432"/>
        <v>0</v>
      </c>
      <c r="GL143" s="45"/>
      <c r="GM143" s="45"/>
      <c r="GN143" s="45"/>
      <c r="GO143" s="60" t="e">
        <f t="shared" si="420"/>
        <v>#DIV/0!</v>
      </c>
      <c r="GP143" s="45"/>
      <c r="GQ143" s="45"/>
      <c r="GR143" s="45"/>
      <c r="GS143" s="28">
        <f t="shared" si="450"/>
        <v>0</v>
      </c>
      <c r="GT143" s="28">
        <f t="shared" si="451"/>
        <v>0</v>
      </c>
      <c r="GU143" s="682"/>
      <c r="GV143" s="682"/>
      <c r="GW143" s="682" t="e">
        <f>(#REF!+#REF!+GV143)/AD143</f>
        <v>#REF!</v>
      </c>
      <c r="GX143" s="682"/>
      <c r="GY143" s="682">
        <f t="shared" si="452"/>
        <v>0</v>
      </c>
      <c r="GZ143" s="681" t="e">
        <f t="shared" si="472"/>
        <v>#DIV/0!</v>
      </c>
      <c r="HA143" s="682"/>
      <c r="HB143" s="682"/>
      <c r="HC143" s="45">
        <f>ES143</f>
        <v>0</v>
      </c>
      <c r="HD143" s="602"/>
      <c r="HE143" s="608" t="e">
        <f t="shared" si="453"/>
        <v>#DIV/0!</v>
      </c>
      <c r="HF143" s="602">
        <f t="shared" si="454"/>
        <v>0</v>
      </c>
      <c r="HG143" s="602">
        <f t="shared" ca="1" si="455"/>
        <v>0</v>
      </c>
      <c r="HH143" s="608" t="e">
        <f t="shared" ca="1" si="473"/>
        <v>#DIV/0!</v>
      </c>
      <c r="HI143" s="602"/>
      <c r="HJ143" s="602">
        <f t="shared" si="474"/>
        <v>0</v>
      </c>
      <c r="HK143" s="602" t="e">
        <f t="shared" si="475"/>
        <v>#DIV/0!</v>
      </c>
      <c r="HL143" s="602"/>
      <c r="HM143" s="673"/>
      <c r="HN143" s="62"/>
      <c r="HO143" s="673"/>
      <c r="HP143" s="673">
        <f t="shared" si="456"/>
        <v>0</v>
      </c>
      <c r="HQ143" s="539"/>
      <c r="HR143" s="539"/>
      <c r="HS143" s="539"/>
      <c r="HT143" s="539"/>
      <c r="HU143" s="539"/>
      <c r="HV143" s="673"/>
      <c r="HW143" s="673">
        <f t="shared" si="477"/>
        <v>0</v>
      </c>
      <c r="HX143" s="539"/>
    </row>
    <row r="144" spans="1:232 16317:16317" ht="15" customHeight="1">
      <c r="A144" s="495" t="s">
        <v>634</v>
      </c>
      <c r="B144" s="31" t="s">
        <v>14</v>
      </c>
      <c r="C144" s="31" t="s">
        <v>90</v>
      </c>
      <c r="D144" s="31" t="s">
        <v>645</v>
      </c>
      <c r="E144" s="31"/>
      <c r="F144" s="31"/>
      <c r="G144" s="31"/>
      <c r="H144" s="33"/>
      <c r="I144" s="31"/>
      <c r="J144" s="31" t="s">
        <v>635</v>
      </c>
      <c r="K144" s="180" t="s">
        <v>636</v>
      </c>
      <c r="L144" s="114"/>
      <c r="M144" s="115"/>
      <c r="N144" s="116"/>
      <c r="O144" s="142">
        <v>18000</v>
      </c>
      <c r="P144" s="142"/>
      <c r="Q144" s="142"/>
      <c r="R144" s="142">
        <f t="shared" si="425"/>
        <v>0</v>
      </c>
      <c r="S144" s="142">
        <f t="shared" si="426"/>
        <v>0</v>
      </c>
      <c r="T144" s="148">
        <f t="shared" si="427"/>
        <v>0</v>
      </c>
      <c r="U144" s="148" t="e">
        <f t="shared" si="433"/>
        <v>#DIV/0!</v>
      </c>
      <c r="V144" s="148">
        <f t="shared" si="428"/>
        <v>0</v>
      </c>
      <c r="W144" s="142">
        <f t="shared" si="429"/>
        <v>400</v>
      </c>
      <c r="X144" s="143"/>
      <c r="Y144" s="525">
        <f t="shared" si="434"/>
        <v>25</v>
      </c>
      <c r="Z144" s="143" t="s">
        <v>619</v>
      </c>
      <c r="AA144" s="143"/>
      <c r="AB144" s="144"/>
      <c r="AC144" s="31" t="s">
        <v>10</v>
      </c>
      <c r="AD144" s="493">
        <f t="shared" si="416"/>
        <v>45</v>
      </c>
      <c r="AE144" s="494">
        <f t="shared" si="435"/>
        <v>45</v>
      </c>
      <c r="AF144" s="42"/>
      <c r="AG144" s="31">
        <v>45</v>
      </c>
      <c r="AH144" s="42"/>
      <c r="AI144" s="42"/>
      <c r="AJ144" s="797"/>
      <c r="AK144" s="276"/>
      <c r="AL144" s="586">
        <f t="shared" si="436"/>
        <v>0</v>
      </c>
      <c r="AM144" s="8">
        <f t="shared" si="437"/>
        <v>0</v>
      </c>
      <c r="AN144" s="35"/>
      <c r="AO144" s="35"/>
      <c r="AP144" s="35"/>
      <c r="AQ144" s="53"/>
      <c r="AR144" s="53"/>
      <c r="AS144" s="53"/>
      <c r="AT144" s="53"/>
      <c r="AU144" s="53"/>
      <c r="AV144" s="35"/>
      <c r="AW144" s="51"/>
      <c r="AX144" s="53"/>
      <c r="AY144" s="35"/>
      <c r="AZ144" s="34"/>
      <c r="BA144" s="31"/>
      <c r="BB144" s="31"/>
      <c r="BC144" s="31"/>
      <c r="BD144" s="31"/>
      <c r="BE144" s="31"/>
      <c r="BF144" s="165"/>
      <c r="BG144" s="165"/>
      <c r="BH144" s="126"/>
      <c r="BI144" s="126"/>
      <c r="BJ144" s="660"/>
      <c r="BK144" s="660"/>
      <c r="BL144" s="661"/>
      <c r="BM144" s="659">
        <f t="shared" si="438"/>
        <v>0</v>
      </c>
      <c r="BN144" s="578" t="s">
        <v>235</v>
      </c>
      <c r="BO144" s="110"/>
      <c r="BP144" s="139"/>
      <c r="BQ144" s="654">
        <f t="shared" si="457"/>
        <v>0</v>
      </c>
      <c r="BR144" s="638"/>
      <c r="BS144" s="110"/>
      <c r="BT144" s="110"/>
      <c r="BU144" s="202"/>
      <c r="BV144" s="201">
        <f t="shared" si="439"/>
        <v>731</v>
      </c>
      <c r="BW144" s="439"/>
      <c r="BX144" s="201" t="str">
        <f t="shared" si="440"/>
        <v>oui</v>
      </c>
      <c r="BY144" s="557">
        <f t="shared" si="441"/>
        <v>-1538.1333333333334</v>
      </c>
      <c r="BZ144" s="439">
        <f t="shared" si="442"/>
        <v>0</v>
      </c>
      <c r="CA144" s="439">
        <f t="shared" si="443"/>
        <v>0</v>
      </c>
      <c r="CB144" s="339"/>
      <c r="CC144" s="341"/>
      <c r="CD144" s="341"/>
      <c r="CE144" s="343" t="str">
        <f t="shared" si="444"/>
        <v>0</v>
      </c>
      <c r="CF144" s="341"/>
      <c r="CG144" s="341"/>
      <c r="CH144" s="343" t="str">
        <f t="shared" si="445"/>
        <v>0</v>
      </c>
      <c r="CI144" s="341"/>
      <c r="CJ144" s="341"/>
      <c r="CK144" s="343" t="str">
        <f t="shared" si="446"/>
        <v>0</v>
      </c>
      <c r="CL144" s="341"/>
      <c r="CM144" s="341"/>
      <c r="CN144" s="343" t="str">
        <f t="shared" si="447"/>
        <v>0</v>
      </c>
      <c r="CO144" s="341"/>
      <c r="CP144" s="341"/>
      <c r="CQ144" s="343" t="str">
        <f t="shared" si="448"/>
        <v>0</v>
      </c>
      <c r="CR144" s="290"/>
      <c r="CS144" s="345"/>
      <c r="CT144" s="330"/>
      <c r="CU144" s="331"/>
      <c r="CV144" s="332"/>
      <c r="CW144" s="330"/>
      <c r="CX144" s="449">
        <v>45109</v>
      </c>
      <c r="CY144" s="233"/>
      <c r="CZ144" s="284">
        <f t="shared" si="415"/>
        <v>1503.6333333333334</v>
      </c>
      <c r="DA144" s="332" t="str">
        <f t="shared" si="397"/>
        <v>0</v>
      </c>
      <c r="DB144" s="450">
        <v>54</v>
      </c>
      <c r="DC144" s="169">
        <f t="shared" si="398"/>
        <v>57</v>
      </c>
      <c r="DD144" s="330"/>
      <c r="DE144" s="335">
        <f t="shared" ca="1" si="458"/>
        <v>43950</v>
      </c>
      <c r="DF144" s="332" t="str">
        <f t="shared" ca="1" si="411"/>
        <v>0</v>
      </c>
      <c r="DG144" s="330"/>
      <c r="DH144" s="348">
        <f t="shared" ca="1" si="459"/>
        <v>43950</v>
      </c>
      <c r="DI144" s="333" t="str">
        <f t="shared" ca="1" si="399"/>
        <v>0</v>
      </c>
      <c r="DJ144" s="334"/>
      <c r="DK144" s="348">
        <f t="shared" ca="1" si="460"/>
        <v>43950</v>
      </c>
      <c r="DL144" s="332" t="str">
        <f t="shared" ca="1" si="421"/>
        <v>0</v>
      </c>
      <c r="DM144" s="335">
        <v>43554</v>
      </c>
      <c r="DN144" s="335">
        <f t="shared" ca="1" si="461"/>
        <v>43950</v>
      </c>
      <c r="DO144" s="332">
        <f t="shared" ca="1" si="400"/>
        <v>396</v>
      </c>
      <c r="DP144" s="336"/>
      <c r="DQ144" s="336"/>
      <c r="DR144" s="332" t="str">
        <f t="shared" si="401"/>
        <v>0</v>
      </c>
      <c r="DS144" s="335"/>
      <c r="DT144" s="335">
        <f t="shared" ca="1" si="462"/>
        <v>43950</v>
      </c>
      <c r="DU144" s="332" t="str">
        <f t="shared" ca="1" si="402"/>
        <v>0</v>
      </c>
      <c r="DV144" s="335">
        <v>43631</v>
      </c>
      <c r="DW144" s="335">
        <f t="shared" ca="1" si="463"/>
        <v>43950</v>
      </c>
      <c r="DX144" s="332">
        <f t="shared" ca="1" si="403"/>
        <v>319</v>
      </c>
      <c r="DY144" s="335"/>
      <c r="DZ144" s="335"/>
      <c r="EA144" s="335"/>
      <c r="EB144" s="477">
        <f t="shared" si="423"/>
        <v>46754</v>
      </c>
      <c r="EC144" s="476">
        <f t="shared" si="464"/>
        <v>46845</v>
      </c>
      <c r="ED144" s="473">
        <f t="shared" si="417"/>
        <v>3.0333333333333332</v>
      </c>
      <c r="EE144" s="605">
        <f t="shared" ca="1" si="465"/>
        <v>96.5</v>
      </c>
      <c r="EF144" s="476">
        <f t="shared" ca="1" si="466"/>
        <v>44680</v>
      </c>
      <c r="EG144" s="535"/>
      <c r="EH144" s="526"/>
      <c r="EI144" s="536">
        <f t="shared" si="467"/>
        <v>46969</v>
      </c>
      <c r="EJ144" s="295"/>
      <c r="EK144" s="534">
        <f t="shared" si="384"/>
        <v>46785</v>
      </c>
      <c r="EL144" s="476">
        <f t="shared" si="468"/>
        <v>46875</v>
      </c>
      <c r="EM144" s="368"/>
      <c r="EN144" s="471">
        <f t="shared" si="476"/>
        <v>3</v>
      </c>
      <c r="EO144" s="461"/>
      <c r="EP144" s="173">
        <f t="shared" si="430"/>
        <v>0</v>
      </c>
      <c r="EQ144" s="77"/>
      <c r="ER144" s="353"/>
      <c r="ES144" s="353"/>
      <c r="ET144" s="353"/>
      <c r="EU144" s="353"/>
      <c r="EV144" s="482"/>
      <c r="EW144" s="483" t="e">
        <f t="shared" si="449"/>
        <v>#DIV/0!</v>
      </c>
      <c r="EX144" s="350"/>
      <c r="EY144" s="362"/>
      <c r="EZ144" s="355"/>
      <c r="FA144" s="355"/>
      <c r="FB144" s="126">
        <f t="shared" ca="1" si="385"/>
        <v>44680</v>
      </c>
      <c r="FC144" s="80"/>
      <c r="FD144" s="80"/>
      <c r="FE144" s="80"/>
      <c r="FF144" s="80"/>
      <c r="FG144" s="80"/>
      <c r="FH144" s="31"/>
      <c r="FI144" s="194">
        <f t="shared" si="424"/>
        <v>47210</v>
      </c>
      <c r="FJ144" s="194"/>
      <c r="FK144" s="31"/>
      <c r="FL144" s="31"/>
      <c r="FM144" s="31"/>
      <c r="FN144" s="31"/>
      <c r="FO144" s="31"/>
      <c r="FP144" s="31"/>
      <c r="FQ144" s="31"/>
      <c r="FR144" s="31"/>
      <c r="FS144" s="31"/>
      <c r="FT144" s="31"/>
      <c r="FU144" s="31"/>
      <c r="FV144" s="31"/>
      <c r="FW144" s="31"/>
      <c r="FX144" s="529"/>
      <c r="FY144" s="652">
        <f t="shared" si="418"/>
        <v>0</v>
      </c>
      <c r="FZ144" s="550">
        <f t="shared" si="471"/>
        <v>0</v>
      </c>
      <c r="GA144" s="45">
        <f t="shared" si="412"/>
        <v>0</v>
      </c>
      <c r="GB144" s="602">
        <f t="shared" si="469"/>
        <v>0</v>
      </c>
      <c r="GC144" s="28" t="e">
        <f t="shared" si="419"/>
        <v>#DIV/0!</v>
      </c>
      <c r="GD144" s="28" t="e">
        <f>#REF!/AD144</f>
        <v>#REF!</v>
      </c>
      <c r="GE144" s="45"/>
      <c r="GF144" s="417"/>
      <c r="GG144" s="28"/>
      <c r="GH144" s="45">
        <f t="shared" si="470"/>
        <v>0</v>
      </c>
      <c r="GI144" s="59"/>
      <c r="GJ144" s="59"/>
      <c r="GK144" s="408">
        <f t="shared" si="432"/>
        <v>0</v>
      </c>
      <c r="GL144" s="45"/>
      <c r="GM144" s="45"/>
      <c r="GN144" s="45"/>
      <c r="GO144" s="60" t="e">
        <f t="shared" si="420"/>
        <v>#DIV/0!</v>
      </c>
      <c r="GP144" s="45"/>
      <c r="GQ144" s="45"/>
      <c r="GR144" s="45"/>
      <c r="GS144" s="28">
        <f t="shared" si="450"/>
        <v>0</v>
      </c>
      <c r="GT144" s="28">
        <f t="shared" si="451"/>
        <v>0</v>
      </c>
      <c r="GU144" s="682"/>
      <c r="GV144" s="682"/>
      <c r="GW144" s="682" t="e">
        <f>(#REF!+#REF!+GV144)/AD144</f>
        <v>#REF!</v>
      </c>
      <c r="GX144" s="682"/>
      <c r="GY144" s="682">
        <f t="shared" si="452"/>
        <v>0</v>
      </c>
      <c r="GZ144" s="681" t="e">
        <f t="shared" si="472"/>
        <v>#DIV/0!</v>
      </c>
      <c r="HA144" s="682"/>
      <c r="HB144" s="682"/>
      <c r="HC144" s="45"/>
      <c r="HD144" s="602"/>
      <c r="HE144" s="608" t="e">
        <f t="shared" si="453"/>
        <v>#DIV/0!</v>
      </c>
      <c r="HF144" s="602">
        <f t="shared" si="454"/>
        <v>0</v>
      </c>
      <c r="HG144" s="602">
        <f t="shared" ca="1" si="455"/>
        <v>0</v>
      </c>
      <c r="HH144" s="608" t="e">
        <f t="shared" ca="1" si="473"/>
        <v>#DIV/0!</v>
      </c>
      <c r="HI144" s="602"/>
      <c r="HJ144" s="602">
        <f t="shared" si="474"/>
        <v>0</v>
      </c>
      <c r="HK144" s="602" t="e">
        <f t="shared" si="475"/>
        <v>#DIV/0!</v>
      </c>
      <c r="HL144" s="602"/>
      <c r="HM144" s="673"/>
      <c r="HN144" s="62"/>
      <c r="HO144" s="673"/>
      <c r="HP144" s="673">
        <f t="shared" si="456"/>
        <v>0</v>
      </c>
      <c r="HQ144" s="539"/>
      <c r="HR144" s="539"/>
      <c r="HS144" s="539"/>
      <c r="HT144" s="539"/>
      <c r="HU144" s="539"/>
      <c r="HV144" s="673"/>
      <c r="HW144" s="673">
        <f t="shared" si="477"/>
        <v>0</v>
      </c>
      <c r="HX144" s="539"/>
    </row>
    <row r="145" spans="1:232" ht="15" hidden="1" customHeight="1">
      <c r="A145" s="751" t="s">
        <v>670</v>
      </c>
      <c r="B145" s="31" t="s">
        <v>14</v>
      </c>
      <c r="C145" s="31" t="s">
        <v>90</v>
      </c>
      <c r="D145" s="31">
        <v>2015</v>
      </c>
      <c r="E145" s="31" t="s">
        <v>374</v>
      </c>
      <c r="F145" s="31" t="s">
        <v>16</v>
      </c>
      <c r="G145" s="31" t="s">
        <v>337</v>
      </c>
      <c r="H145" s="31" t="s">
        <v>137</v>
      </c>
      <c r="I145" s="31"/>
      <c r="J145" s="31"/>
      <c r="K145" s="180"/>
      <c r="L145" s="114"/>
      <c r="M145" s="115" t="s">
        <v>116</v>
      </c>
      <c r="N145" s="116"/>
      <c r="O145" s="148">
        <v>3038</v>
      </c>
      <c r="P145" s="148">
        <f>Q145</f>
        <v>690000</v>
      </c>
      <c r="Q145" s="148">
        <v>690000</v>
      </c>
      <c r="R145" s="142">
        <f t="shared" si="425"/>
        <v>12545.454545454546</v>
      </c>
      <c r="S145" s="148">
        <f t="shared" si="426"/>
        <v>227.12310730743911</v>
      </c>
      <c r="T145" s="148">
        <f t="shared" si="427"/>
        <v>227.12310730743911</v>
      </c>
      <c r="U145" s="148">
        <f t="shared" si="433"/>
        <v>213.33828030794919</v>
      </c>
      <c r="V145" s="148">
        <f t="shared" si="428"/>
        <v>12545.454545454546</v>
      </c>
      <c r="W145" s="142">
        <f t="shared" si="429"/>
        <v>55.236363636363635</v>
      </c>
      <c r="X145" s="151"/>
      <c r="Y145" s="523">
        <f t="shared" si="434"/>
        <v>181.04015799868336</v>
      </c>
      <c r="Z145" s="151" t="s">
        <v>147</v>
      </c>
      <c r="AA145" s="143"/>
      <c r="AB145" s="144"/>
      <c r="AC145" s="32" t="s">
        <v>10</v>
      </c>
      <c r="AD145" s="493">
        <f t="shared" si="416"/>
        <v>55</v>
      </c>
      <c r="AE145" s="494">
        <f t="shared" si="435"/>
        <v>55</v>
      </c>
      <c r="AF145" s="42"/>
      <c r="AG145" s="31">
        <f>55*1</f>
        <v>55</v>
      </c>
      <c r="AH145" s="42"/>
      <c r="AI145" s="42"/>
      <c r="AJ145" s="796">
        <v>3155.3</v>
      </c>
      <c r="AK145" s="276">
        <v>3234.2999999999997</v>
      </c>
      <c r="AL145" s="586">
        <f t="shared" si="436"/>
        <v>57.369090909090914</v>
      </c>
      <c r="AM145" s="8">
        <f t="shared" si="437"/>
        <v>58.805454545454538</v>
      </c>
      <c r="AN145" s="35">
        <v>5.93</v>
      </c>
      <c r="AO145" s="35">
        <v>5.78</v>
      </c>
      <c r="AP145" s="35">
        <v>340.06</v>
      </c>
      <c r="AQ145" s="37"/>
      <c r="AR145" s="53">
        <v>1</v>
      </c>
      <c r="AS145" s="37"/>
      <c r="AT145" s="37"/>
      <c r="AU145" s="37"/>
      <c r="AV145" s="35"/>
      <c r="AW145" s="51">
        <v>0</v>
      </c>
      <c r="AX145" s="53">
        <f>AW145/O145</f>
        <v>0</v>
      </c>
      <c r="AY145" s="35">
        <v>3</v>
      </c>
      <c r="AZ145" s="34" t="s">
        <v>398</v>
      </c>
      <c r="BA145" s="31" t="s">
        <v>99</v>
      </c>
      <c r="BB145" s="37">
        <v>6373285</v>
      </c>
      <c r="BC145" s="504">
        <f>BB145/AJ145</f>
        <v>2019.8665737013912</v>
      </c>
      <c r="BD145" s="505">
        <f>BB145/AK145</f>
        <v>1970.5299446557217</v>
      </c>
      <c r="BE145" s="392">
        <f>BB145/AD145</f>
        <v>115877.90909090909</v>
      </c>
      <c r="BF145" s="274" t="s">
        <v>228</v>
      </c>
      <c r="BG145" s="274"/>
      <c r="BH145" s="31"/>
      <c r="BI145" s="31"/>
      <c r="BJ145" s="660">
        <v>42093</v>
      </c>
      <c r="BK145" s="660">
        <v>42320</v>
      </c>
      <c r="BL145" s="661"/>
      <c r="BM145" s="659">
        <f t="shared" si="438"/>
        <v>7.5666666666666664</v>
      </c>
      <c r="BN145" s="578"/>
      <c r="BO145" s="110">
        <v>42697</v>
      </c>
      <c r="BP145" s="139">
        <v>42719</v>
      </c>
      <c r="BQ145" s="654">
        <f t="shared" si="457"/>
        <v>0.73333333333333328</v>
      </c>
      <c r="BR145" s="638">
        <v>58354</v>
      </c>
      <c r="BS145" s="110">
        <v>42805</v>
      </c>
      <c r="BT145" s="110">
        <v>42727</v>
      </c>
      <c r="BU145" s="202">
        <v>42826</v>
      </c>
      <c r="BV145" s="201">
        <f t="shared" si="439"/>
        <v>43556</v>
      </c>
      <c r="BW145" s="439">
        <f>88358+17044</f>
        <v>105402</v>
      </c>
      <c r="BX145" s="201" t="str">
        <f t="shared" si="440"/>
        <v>oui</v>
      </c>
      <c r="BY145" s="557">
        <f t="shared" si="441"/>
        <v>-2.7333333333333334</v>
      </c>
      <c r="BZ145" s="439" t="str">
        <f t="shared" si="442"/>
        <v>0</v>
      </c>
      <c r="CA145" s="439">
        <f t="shared" si="443"/>
        <v>105402</v>
      </c>
      <c r="CB145" s="81"/>
      <c r="CC145" s="81"/>
      <c r="CD145" s="81"/>
      <c r="CE145" s="326" t="str">
        <f t="shared" si="444"/>
        <v>0</v>
      </c>
      <c r="CF145" s="81">
        <v>42041</v>
      </c>
      <c r="CG145" s="81">
        <v>41982</v>
      </c>
      <c r="CH145" s="326">
        <f t="shared" si="445"/>
        <v>-59</v>
      </c>
      <c r="CI145" s="81"/>
      <c r="CJ145" s="81"/>
      <c r="CK145" s="326" t="str">
        <f t="shared" si="446"/>
        <v>0</v>
      </c>
      <c r="CL145" s="81"/>
      <c r="CM145" s="81"/>
      <c r="CN145" s="326" t="str">
        <f t="shared" si="447"/>
        <v>0</v>
      </c>
      <c r="CO145" s="81"/>
      <c r="CP145" s="81"/>
      <c r="CQ145" s="326" t="str">
        <f t="shared" si="448"/>
        <v>0</v>
      </c>
      <c r="CR145" s="290"/>
      <c r="CS145" s="81"/>
      <c r="CT145" s="81"/>
      <c r="CU145" s="81"/>
      <c r="CV145" s="326" t="str">
        <f>IF(AND(CT145&gt;0,CU145&gt;0),CU145-CT145,"0")</f>
        <v>0</v>
      </c>
      <c r="CW145" s="81">
        <v>42741</v>
      </c>
      <c r="CX145" s="282">
        <v>42767</v>
      </c>
      <c r="CY145" s="232">
        <v>2017</v>
      </c>
      <c r="CZ145" s="286">
        <f t="shared" si="415"/>
        <v>14.9</v>
      </c>
      <c r="DA145" s="326">
        <f t="shared" si="397"/>
        <v>26</v>
      </c>
      <c r="DB145" s="179">
        <v>22</v>
      </c>
      <c r="DC145" s="76">
        <f t="shared" si="398"/>
        <v>24</v>
      </c>
      <c r="DD145" s="81">
        <v>42824</v>
      </c>
      <c r="DE145" s="81">
        <v>42807</v>
      </c>
      <c r="DF145" s="326">
        <f t="shared" si="411"/>
        <v>-17</v>
      </c>
      <c r="DG145" s="81">
        <v>42946</v>
      </c>
      <c r="DH145" s="363">
        <v>42895</v>
      </c>
      <c r="DI145" s="329">
        <f t="shared" si="399"/>
        <v>-51</v>
      </c>
      <c r="DJ145" s="81"/>
      <c r="DK145" s="363">
        <v>42996</v>
      </c>
      <c r="DL145" s="326" t="str">
        <f t="shared" si="421"/>
        <v>0</v>
      </c>
      <c r="DM145" s="81">
        <v>43038</v>
      </c>
      <c r="DN145" s="81">
        <v>43340</v>
      </c>
      <c r="DO145" s="326">
        <f t="shared" si="400"/>
        <v>302</v>
      </c>
      <c r="DP145" s="81">
        <v>43038</v>
      </c>
      <c r="DQ145" s="81">
        <v>43327</v>
      </c>
      <c r="DR145" s="326">
        <f t="shared" si="401"/>
        <v>289</v>
      </c>
      <c r="DS145" s="81">
        <v>43159</v>
      </c>
      <c r="DT145" s="81">
        <v>43350</v>
      </c>
      <c r="DU145" s="326">
        <f t="shared" si="402"/>
        <v>191</v>
      </c>
      <c r="DV145" s="132">
        <v>43465</v>
      </c>
      <c r="DW145" s="132">
        <v>43621</v>
      </c>
      <c r="DX145" s="597">
        <f t="shared" si="403"/>
        <v>156</v>
      </c>
      <c r="DY145" s="132"/>
      <c r="DZ145" s="132"/>
      <c r="EA145" s="132"/>
      <c r="EB145" s="383">
        <f t="shared" si="423"/>
        <v>43435</v>
      </c>
      <c r="EC145" s="238">
        <v>43524</v>
      </c>
      <c r="ED145" s="501">
        <f t="shared" si="417"/>
        <v>2.9666666666666668</v>
      </c>
      <c r="EE145" s="836">
        <f t="shared" ca="1" si="465"/>
        <v>0</v>
      </c>
      <c r="EF145" s="238">
        <f t="shared" si="466"/>
        <v>43625</v>
      </c>
      <c r="EG145" s="794">
        <v>43578</v>
      </c>
      <c r="EH145" s="215">
        <v>43392</v>
      </c>
      <c r="EI145" s="838">
        <v>43621</v>
      </c>
      <c r="EJ145" s="765">
        <v>43626</v>
      </c>
      <c r="EK145" s="626">
        <f t="shared" si="384"/>
        <v>43466</v>
      </c>
      <c r="EL145" s="627">
        <v>43638</v>
      </c>
      <c r="EM145" s="730">
        <v>2019</v>
      </c>
      <c r="EN145" s="629">
        <f t="shared" si="476"/>
        <v>5.7333333333333334</v>
      </c>
      <c r="EO145" s="630">
        <f>233056/12</f>
        <v>19421.333333333332</v>
      </c>
      <c r="EP145" s="633">
        <f t="shared" si="430"/>
        <v>111348.97777777778</v>
      </c>
      <c r="EQ145" s="632"/>
      <c r="ER145" s="353">
        <v>0</v>
      </c>
      <c r="ES145" s="353">
        <v>0</v>
      </c>
      <c r="ET145" s="353">
        <v>0</v>
      </c>
      <c r="EU145" s="353"/>
      <c r="EV145" s="482">
        <v>0</v>
      </c>
      <c r="EW145" s="483">
        <f t="shared" si="449"/>
        <v>0</v>
      </c>
      <c r="EX145" s="350" t="s">
        <v>16</v>
      </c>
      <c r="EY145" s="362"/>
      <c r="EZ145" s="840" t="s">
        <v>704</v>
      </c>
      <c r="FA145" s="808"/>
      <c r="FB145" s="126">
        <f t="shared" si="385"/>
        <v>43625</v>
      </c>
      <c r="FC145" s="81" t="s">
        <v>105</v>
      </c>
      <c r="FD145" s="80"/>
      <c r="FE145" s="80"/>
      <c r="FF145" s="80"/>
      <c r="FG145" s="81">
        <v>43663</v>
      </c>
      <c r="FH145" s="31" t="s">
        <v>887</v>
      </c>
      <c r="FI145" s="214">
        <f t="shared" si="424"/>
        <v>43889</v>
      </c>
      <c r="FJ145" s="194"/>
      <c r="FK145" s="74"/>
      <c r="FL145" s="74"/>
      <c r="FM145" s="74"/>
      <c r="FN145" s="74"/>
      <c r="FO145" s="31"/>
      <c r="FP145" s="31"/>
      <c r="FQ145" s="31"/>
      <c r="FR145" s="31"/>
      <c r="FS145" s="126"/>
      <c r="FT145" s="215">
        <v>43773</v>
      </c>
      <c r="FU145" s="31"/>
      <c r="FV145" s="31"/>
      <c r="FW145" s="31"/>
      <c r="FX145" s="529"/>
      <c r="FY145" s="652">
        <f t="shared" si="418"/>
        <v>6893824</v>
      </c>
      <c r="FZ145" s="550">
        <f t="shared" si="471"/>
        <v>6893824</v>
      </c>
      <c r="GA145" s="500">
        <f t="shared" si="412"/>
        <v>6893824</v>
      </c>
      <c r="GB145" s="610">
        <f>GM145+GN145+GR145+GQ145+GV145+GX145</f>
        <v>1100000</v>
      </c>
      <c r="GC145" s="28">
        <f t="shared" si="419"/>
        <v>2131.4732708777792</v>
      </c>
      <c r="GD145" s="28">
        <f>FZ145/AD145</f>
        <v>125342.25454545455</v>
      </c>
      <c r="GE145" s="45">
        <v>1928374</v>
      </c>
      <c r="GF145" s="417"/>
      <c r="GG145" s="28">
        <f>GE145/AD145</f>
        <v>35061.345454545452</v>
      </c>
      <c r="GH145" s="45">
        <f>GJ145+GI145</f>
        <v>3865450</v>
      </c>
      <c r="GI145" s="59">
        <v>735184</v>
      </c>
      <c r="GJ145" s="59">
        <v>3130266</v>
      </c>
      <c r="GK145" s="408">
        <f t="shared" si="432"/>
        <v>70280.909090909088</v>
      </c>
      <c r="GL145" s="45"/>
      <c r="GM145" s="45">
        <v>1100000</v>
      </c>
      <c r="GN145" s="45">
        <v>0</v>
      </c>
      <c r="GO145" s="60">
        <f t="shared" si="420"/>
        <v>0.15956311040142598</v>
      </c>
      <c r="GP145" s="60"/>
      <c r="GQ145" s="60"/>
      <c r="GR145" s="45">
        <v>0</v>
      </c>
      <c r="GS145" s="28">
        <f t="shared" si="450"/>
        <v>20000</v>
      </c>
      <c r="GT145" s="56">
        <f t="shared" si="451"/>
        <v>55061.345454545452</v>
      </c>
      <c r="GU145" s="682">
        <v>0</v>
      </c>
      <c r="GV145" s="682">
        <v>0</v>
      </c>
      <c r="GW145" s="682">
        <f>(GE145+GM145+GV145)/AD145</f>
        <v>55061.345454545452</v>
      </c>
      <c r="GX145" s="682">
        <v>0</v>
      </c>
      <c r="GY145" s="682">
        <f t="shared" si="452"/>
        <v>55061.345454545452</v>
      </c>
      <c r="GZ145" s="681">
        <f t="shared" si="472"/>
        <v>0.43928797718073453</v>
      </c>
      <c r="HA145" s="682">
        <v>0</v>
      </c>
      <c r="HB145" s="682"/>
      <c r="HC145" s="45">
        <f>ES145</f>
        <v>0</v>
      </c>
      <c r="HD145" s="610">
        <v>5868941.3073500004</v>
      </c>
      <c r="HE145" s="608">
        <f t="shared" si="453"/>
        <v>0.85133320887652486</v>
      </c>
      <c r="HF145" s="616">
        <f t="shared" si="454"/>
        <v>1024882.6926499996</v>
      </c>
      <c r="HG145" s="602">
        <f ca="1">IF(EE145&lt;DATEDIF(TODAY(),$HG$1,"M"),HF145,(HF145/EE145*DATEDIF(TODAY(),$HG$1,"M")))-100824</f>
        <v>924058.69264999963</v>
      </c>
      <c r="HH145" s="608">
        <f ca="1">(HG145+HD145)/FZ145</f>
        <v>0.98537473541535148</v>
      </c>
      <c r="HI145" s="602">
        <f>'[1]GLOBAL OPERATION'!$AG$77</f>
        <v>451296.94000000006</v>
      </c>
      <c r="HJ145" s="602">
        <f t="shared" si="474"/>
        <v>648703.05999999994</v>
      </c>
      <c r="HK145" s="608">
        <f t="shared" si="475"/>
        <v>0.41026994545454554</v>
      </c>
      <c r="HL145" s="648" t="s">
        <v>777</v>
      </c>
      <c r="HM145" s="673"/>
      <c r="HN145" s="62"/>
      <c r="HO145" s="673"/>
      <c r="HP145" s="673">
        <f t="shared" si="456"/>
        <v>0</v>
      </c>
      <c r="HQ145" s="539"/>
      <c r="HR145" s="539"/>
      <c r="HS145" s="539"/>
      <c r="HT145" s="539"/>
      <c r="HU145" s="539"/>
      <c r="HV145" s="673"/>
      <c r="HW145" s="673">
        <f t="shared" si="477"/>
        <v>0</v>
      </c>
      <c r="HX145" s="539"/>
    </row>
    <row r="146" spans="1:232" ht="15" customHeight="1">
      <c r="A146" s="495" t="s">
        <v>637</v>
      </c>
      <c r="B146" s="31" t="s">
        <v>14</v>
      </c>
      <c r="C146" s="31" t="s">
        <v>90</v>
      </c>
      <c r="D146" s="31" t="s">
        <v>645</v>
      </c>
      <c r="E146" s="31"/>
      <c r="F146" s="31"/>
      <c r="G146" s="31"/>
      <c r="H146" s="33"/>
      <c r="I146" s="31"/>
      <c r="J146" s="31" t="s">
        <v>638</v>
      </c>
      <c r="K146" s="180" t="s">
        <v>639</v>
      </c>
      <c r="L146" s="114"/>
      <c r="M146" s="115"/>
      <c r="N146" s="116"/>
      <c r="O146" s="142">
        <v>30000</v>
      </c>
      <c r="P146" s="142"/>
      <c r="Q146" s="142"/>
      <c r="R146" s="142">
        <f t="shared" si="425"/>
        <v>0</v>
      </c>
      <c r="S146" s="142">
        <f t="shared" si="426"/>
        <v>0</v>
      </c>
      <c r="T146" s="148">
        <f t="shared" si="427"/>
        <v>0</v>
      </c>
      <c r="U146" s="148" t="e">
        <f t="shared" si="433"/>
        <v>#DIV/0!</v>
      </c>
      <c r="V146" s="148">
        <f t="shared" si="428"/>
        <v>0</v>
      </c>
      <c r="W146" s="142">
        <f t="shared" si="429"/>
        <v>666.66666666666663</v>
      </c>
      <c r="X146" s="143"/>
      <c r="Y146" s="525">
        <f t="shared" si="434"/>
        <v>15</v>
      </c>
      <c r="Z146" s="143" t="s">
        <v>619</v>
      </c>
      <c r="AA146" s="143"/>
      <c r="AB146" s="144"/>
      <c r="AC146" s="31" t="s">
        <v>10</v>
      </c>
      <c r="AD146" s="493">
        <f t="shared" si="416"/>
        <v>45</v>
      </c>
      <c r="AE146" s="494">
        <f t="shared" si="435"/>
        <v>45</v>
      </c>
      <c r="AF146" s="42"/>
      <c r="AG146" s="31">
        <v>45</v>
      </c>
      <c r="AH146" s="42"/>
      <c r="AI146" s="42"/>
      <c r="AJ146" s="797"/>
      <c r="AK146" s="276"/>
      <c r="AL146" s="586">
        <f t="shared" si="436"/>
        <v>0</v>
      </c>
      <c r="AM146" s="8">
        <f t="shared" si="437"/>
        <v>0</v>
      </c>
      <c r="AN146" s="35"/>
      <c r="AO146" s="35"/>
      <c r="AP146" s="35"/>
      <c r="AQ146" s="53"/>
      <c r="AR146" s="53"/>
      <c r="AS146" s="53"/>
      <c r="AT146" s="53"/>
      <c r="AU146" s="53"/>
      <c r="AV146" s="35"/>
      <c r="AW146" s="51"/>
      <c r="AX146" s="53"/>
      <c r="AY146" s="35"/>
      <c r="AZ146" s="34"/>
      <c r="BA146" s="31"/>
      <c r="BB146" s="31"/>
      <c r="BC146" s="31"/>
      <c r="BD146" s="31"/>
      <c r="BE146" s="31"/>
      <c r="BF146" s="165"/>
      <c r="BG146" s="165"/>
      <c r="BH146" s="126"/>
      <c r="BI146" s="126"/>
      <c r="BJ146" s="660"/>
      <c r="BK146" s="660"/>
      <c r="BL146" s="661"/>
      <c r="BM146" s="659">
        <f t="shared" si="438"/>
        <v>0</v>
      </c>
      <c r="BN146" s="578" t="s">
        <v>235</v>
      </c>
      <c r="BO146" s="110"/>
      <c r="BP146" s="139"/>
      <c r="BQ146" s="654">
        <f t="shared" si="457"/>
        <v>0</v>
      </c>
      <c r="BR146" s="638"/>
      <c r="BS146" s="110"/>
      <c r="BT146" s="110"/>
      <c r="BU146" s="202"/>
      <c r="BV146" s="201">
        <f t="shared" si="439"/>
        <v>731</v>
      </c>
      <c r="BW146" s="439"/>
      <c r="BX146" s="201" t="str">
        <f t="shared" si="440"/>
        <v>oui</v>
      </c>
      <c r="BY146" s="557">
        <f t="shared" si="441"/>
        <v>-1539.2</v>
      </c>
      <c r="BZ146" s="439">
        <f t="shared" si="442"/>
        <v>0</v>
      </c>
      <c r="CA146" s="439">
        <f t="shared" si="443"/>
        <v>0</v>
      </c>
      <c r="CB146" s="339"/>
      <c r="CC146" s="341"/>
      <c r="CD146" s="341"/>
      <c r="CE146" s="343" t="str">
        <f t="shared" si="444"/>
        <v>0</v>
      </c>
      <c r="CF146" s="341"/>
      <c r="CG146" s="341"/>
      <c r="CH146" s="343" t="str">
        <f t="shared" si="445"/>
        <v>0</v>
      </c>
      <c r="CI146" s="341"/>
      <c r="CJ146" s="341"/>
      <c r="CK146" s="343" t="str">
        <f t="shared" si="446"/>
        <v>0</v>
      </c>
      <c r="CL146" s="341"/>
      <c r="CM146" s="341"/>
      <c r="CN146" s="343" t="str">
        <f t="shared" si="447"/>
        <v>0</v>
      </c>
      <c r="CO146" s="341"/>
      <c r="CP146" s="341"/>
      <c r="CQ146" s="343" t="str">
        <f t="shared" si="448"/>
        <v>0</v>
      </c>
      <c r="CR146" s="290"/>
      <c r="CS146" s="345"/>
      <c r="CT146" s="330"/>
      <c r="CU146" s="331"/>
      <c r="CV146" s="332"/>
      <c r="CW146" s="330"/>
      <c r="CX146" s="449">
        <v>45110</v>
      </c>
      <c r="CY146" s="233"/>
      <c r="CZ146" s="284">
        <f t="shared" si="415"/>
        <v>1503.6666666666667</v>
      </c>
      <c r="DA146" s="332" t="str">
        <f t="shared" si="397"/>
        <v>0</v>
      </c>
      <c r="DB146" s="450">
        <v>55</v>
      </c>
      <c r="DC146" s="169">
        <f t="shared" si="398"/>
        <v>58</v>
      </c>
      <c r="DD146" s="330"/>
      <c r="DE146" s="335">
        <f t="shared" ref="DE146:DE152" ca="1" si="478">IF(DD146&lt;TODAY(),TODAY(),DD146)</f>
        <v>43950</v>
      </c>
      <c r="DF146" s="332" t="str">
        <f t="shared" ca="1" si="411"/>
        <v>0</v>
      </c>
      <c r="DG146" s="330"/>
      <c r="DH146" s="348">
        <f t="shared" ref="DH146:DH152" ca="1" si="479">IF(DG146&lt;TODAY(),TODAY(),DG146)</f>
        <v>43950</v>
      </c>
      <c r="DI146" s="333" t="str">
        <f t="shared" ca="1" si="399"/>
        <v>0</v>
      </c>
      <c r="DJ146" s="334"/>
      <c r="DK146" s="348">
        <f t="shared" ref="DK146:DK152" ca="1" si="480">IF(DJ146&lt;TODAY(),TODAY(),DJ146)</f>
        <v>43950</v>
      </c>
      <c r="DL146" s="332" t="str">
        <f t="shared" ca="1" si="421"/>
        <v>0</v>
      </c>
      <c r="DM146" s="335">
        <v>43555</v>
      </c>
      <c r="DN146" s="335">
        <f t="shared" ref="DN146:DN152" ca="1" si="481">IF(DM146&lt;TODAY(),TODAY(),DM146)</f>
        <v>43950</v>
      </c>
      <c r="DO146" s="332">
        <f t="shared" ca="1" si="400"/>
        <v>395</v>
      </c>
      <c r="DP146" s="336"/>
      <c r="DQ146" s="336"/>
      <c r="DR146" s="332" t="str">
        <f t="shared" si="401"/>
        <v>0</v>
      </c>
      <c r="DS146" s="335"/>
      <c r="DT146" s="335">
        <f t="shared" ref="DT146:DT152" ca="1" si="482">IF(DS146&lt;TODAY(),TODAY(),DS146)</f>
        <v>43950</v>
      </c>
      <c r="DU146" s="332" t="str">
        <f t="shared" ca="1" si="402"/>
        <v>0</v>
      </c>
      <c r="DV146" s="335">
        <v>43632</v>
      </c>
      <c r="DW146" s="335">
        <f t="shared" ref="DW146:DW152" ca="1" si="483">IF(DV146&lt;TODAY(),TODAY(),DV146)</f>
        <v>43950</v>
      </c>
      <c r="DX146" s="332">
        <f t="shared" ca="1" si="403"/>
        <v>318</v>
      </c>
      <c r="DY146" s="335"/>
      <c r="DZ146" s="335"/>
      <c r="EA146" s="335"/>
      <c r="EB146" s="477">
        <f t="shared" si="423"/>
        <v>46786</v>
      </c>
      <c r="EC146" s="476">
        <f t="shared" ref="EC146:EC152" si="484">DATE(YEAR(EB146),MONTH(EB146)+3,DAY(EB146))</f>
        <v>46876</v>
      </c>
      <c r="ED146" s="473">
        <f t="shared" si="417"/>
        <v>3</v>
      </c>
      <c r="EE146" s="605">
        <f t="shared" ca="1" si="465"/>
        <v>97.533333333333331</v>
      </c>
      <c r="EF146" s="476">
        <f t="shared" ca="1" si="466"/>
        <v>44680</v>
      </c>
      <c r="EG146" s="535"/>
      <c r="EH146" s="526"/>
      <c r="EI146" s="536">
        <f t="shared" ref="EI146:EI152" si="485">DATE(YEAR(EC146),MONTH(EC146)+4,DAY(EC146)+2)</f>
        <v>47001</v>
      </c>
      <c r="EJ146" s="295"/>
      <c r="EK146" s="534">
        <f t="shared" si="384"/>
        <v>46815</v>
      </c>
      <c r="EL146" s="476">
        <f t="shared" ref="EL146:EL152" si="486">DATE(YEAR(EC146),MONTH(EC146)+1,DAY(EC146))</f>
        <v>46907</v>
      </c>
      <c r="EM146" s="368"/>
      <c r="EN146" s="471">
        <f t="shared" si="476"/>
        <v>3.0666666666666669</v>
      </c>
      <c r="EO146" s="461"/>
      <c r="EP146" s="173">
        <f t="shared" si="430"/>
        <v>0</v>
      </c>
      <c r="EQ146" s="77"/>
      <c r="ER146" s="353"/>
      <c r="ES146" s="353"/>
      <c r="ET146" s="353"/>
      <c r="EU146" s="353"/>
      <c r="EV146" s="482"/>
      <c r="EW146" s="483" t="e">
        <f t="shared" si="449"/>
        <v>#DIV/0!</v>
      </c>
      <c r="EX146" s="350"/>
      <c r="EY146" s="362"/>
      <c r="EZ146" s="355"/>
      <c r="FA146" s="350"/>
      <c r="FB146" s="126">
        <f t="shared" ca="1" si="385"/>
        <v>44680</v>
      </c>
      <c r="FC146" s="80"/>
      <c r="FD146" s="80"/>
      <c r="FE146" s="80"/>
      <c r="FF146" s="80"/>
      <c r="FG146" s="80"/>
      <c r="FH146" s="31"/>
      <c r="FI146" s="194">
        <f t="shared" si="424"/>
        <v>47241</v>
      </c>
      <c r="FJ146" s="194"/>
      <c r="FK146" s="31"/>
      <c r="FL146" s="31"/>
      <c r="FM146" s="31"/>
      <c r="FN146" s="31"/>
      <c r="FO146" s="31"/>
      <c r="FP146" s="31"/>
      <c r="FQ146" s="31"/>
      <c r="FR146" s="31"/>
      <c r="FS146" s="31"/>
      <c r="FT146" s="31"/>
      <c r="FU146" s="31"/>
      <c r="FV146" s="31"/>
      <c r="FW146" s="31"/>
      <c r="FX146" s="529"/>
      <c r="FY146" s="652">
        <f t="shared" si="418"/>
        <v>0</v>
      </c>
      <c r="FZ146" s="550">
        <f t="shared" si="471"/>
        <v>0</v>
      </c>
      <c r="GA146" s="45">
        <f t="shared" si="412"/>
        <v>0</v>
      </c>
      <c r="GB146" s="602">
        <f t="shared" ref="GB146:GB152" si="487">GM146+GN146+GR146+GV146</f>
        <v>0</v>
      </c>
      <c r="GC146" s="28" t="e">
        <f t="shared" si="419"/>
        <v>#DIV/0!</v>
      </c>
      <c r="GD146" s="28" t="e">
        <f>#REF!/AD146</f>
        <v>#REF!</v>
      </c>
      <c r="GE146" s="45"/>
      <c r="GF146" s="417"/>
      <c r="GG146" s="28"/>
      <c r="GH146" s="45">
        <f t="shared" ref="GH146:GH152" si="488">GI146+GJ146</f>
        <v>0</v>
      </c>
      <c r="GI146" s="59"/>
      <c r="GJ146" s="59"/>
      <c r="GK146" s="408">
        <f t="shared" si="432"/>
        <v>0</v>
      </c>
      <c r="GL146" s="45"/>
      <c r="GM146" s="45"/>
      <c r="GN146" s="45"/>
      <c r="GO146" s="60" t="e">
        <f t="shared" si="420"/>
        <v>#DIV/0!</v>
      </c>
      <c r="GP146" s="45"/>
      <c r="GQ146" s="45"/>
      <c r="GR146" s="45"/>
      <c r="GS146" s="28">
        <f t="shared" si="450"/>
        <v>0</v>
      </c>
      <c r="GT146" s="28">
        <f t="shared" si="451"/>
        <v>0</v>
      </c>
      <c r="GU146" s="682"/>
      <c r="GV146" s="682"/>
      <c r="GW146" s="682" t="e">
        <f>(#REF!+#REF!+GV146)/AD146</f>
        <v>#REF!</v>
      </c>
      <c r="GX146" s="682"/>
      <c r="GY146" s="682">
        <f t="shared" si="452"/>
        <v>0</v>
      </c>
      <c r="GZ146" s="681" t="e">
        <f t="shared" si="472"/>
        <v>#DIV/0!</v>
      </c>
      <c r="HA146" s="682"/>
      <c r="HB146" s="682"/>
      <c r="HC146" s="45"/>
      <c r="HD146" s="602"/>
      <c r="HE146" s="608" t="e">
        <f t="shared" si="453"/>
        <v>#DIV/0!</v>
      </c>
      <c r="HF146" s="602">
        <f t="shared" si="454"/>
        <v>0</v>
      </c>
      <c r="HG146" s="602">
        <f t="shared" ref="HG146:HG152" ca="1" si="489">IF(EE146&lt;DATEDIF(TODAY(),$HG$1,"M"),HF146,(HF146/EE146*DATEDIF(TODAY(),$HG$1,"M")))</f>
        <v>0</v>
      </c>
      <c r="HH146" s="608" t="e">
        <f t="shared" ref="HH146:HH152" ca="1" si="490">(HD146+HG146)/FZ146</f>
        <v>#DIV/0!</v>
      </c>
      <c r="HI146" s="602"/>
      <c r="HJ146" s="602">
        <f t="shared" si="474"/>
        <v>0</v>
      </c>
      <c r="HK146" s="602" t="e">
        <f t="shared" si="475"/>
        <v>#DIV/0!</v>
      </c>
      <c r="HL146" s="602"/>
      <c r="HM146" s="673"/>
      <c r="HN146" s="62"/>
      <c r="HO146" s="673"/>
      <c r="HP146" s="673">
        <f t="shared" si="456"/>
        <v>0</v>
      </c>
      <c r="HQ146" s="539"/>
      <c r="HR146" s="539"/>
      <c r="HS146" s="539"/>
      <c r="HT146" s="539"/>
      <c r="HU146" s="539"/>
      <c r="HV146" s="673"/>
      <c r="HW146" s="673">
        <f t="shared" si="477"/>
        <v>0</v>
      </c>
      <c r="HX146" s="539"/>
    </row>
    <row r="147" spans="1:232" s="429" customFormat="1" ht="15" customHeight="1">
      <c r="A147" s="63" t="s">
        <v>626</v>
      </c>
      <c r="B147" s="31" t="s">
        <v>14</v>
      </c>
      <c r="C147" s="31" t="s">
        <v>90</v>
      </c>
      <c r="D147" s="31" t="s">
        <v>645</v>
      </c>
      <c r="E147" s="31"/>
      <c r="F147" s="31"/>
      <c r="G147" s="31"/>
      <c r="H147" s="33"/>
      <c r="I147" s="31"/>
      <c r="J147" s="31" t="s">
        <v>738</v>
      </c>
      <c r="K147" s="180" t="s">
        <v>627</v>
      </c>
      <c r="L147" s="114"/>
      <c r="M147" s="115"/>
      <c r="N147" s="116"/>
      <c r="O147" s="142">
        <v>4900</v>
      </c>
      <c r="P147" s="142"/>
      <c r="Q147" s="142"/>
      <c r="R147" s="142">
        <f t="shared" si="425"/>
        <v>0</v>
      </c>
      <c r="S147" s="142">
        <f t="shared" si="426"/>
        <v>0</v>
      </c>
      <c r="T147" s="148">
        <f t="shared" si="427"/>
        <v>0</v>
      </c>
      <c r="U147" s="148" t="e">
        <f t="shared" si="433"/>
        <v>#DIV/0!</v>
      </c>
      <c r="V147" s="148">
        <f t="shared" si="428"/>
        <v>0</v>
      </c>
      <c r="W147" s="142">
        <f t="shared" si="429"/>
        <v>163.33333333333334</v>
      </c>
      <c r="X147" s="143"/>
      <c r="Y147" s="525">
        <f t="shared" si="434"/>
        <v>61.224489795918366</v>
      </c>
      <c r="Z147" s="143"/>
      <c r="AA147" s="143"/>
      <c r="AB147" s="144"/>
      <c r="AC147" s="31" t="s">
        <v>10</v>
      </c>
      <c r="AD147" s="493">
        <f t="shared" si="416"/>
        <v>30</v>
      </c>
      <c r="AE147" s="494">
        <f t="shared" si="435"/>
        <v>30</v>
      </c>
      <c r="AF147" s="42"/>
      <c r="AG147" s="31">
        <v>30</v>
      </c>
      <c r="AH147" s="42"/>
      <c r="AI147" s="42"/>
      <c r="AJ147" s="797"/>
      <c r="AK147" s="276"/>
      <c r="AL147" s="586">
        <f t="shared" si="436"/>
        <v>0</v>
      </c>
      <c r="AM147" s="8">
        <f t="shared" si="437"/>
        <v>0</v>
      </c>
      <c r="AN147" s="35"/>
      <c r="AO147" s="35"/>
      <c r="AP147" s="35"/>
      <c r="AQ147" s="53"/>
      <c r="AR147" s="53"/>
      <c r="AS147" s="53"/>
      <c r="AT147" s="53"/>
      <c r="AU147" s="53"/>
      <c r="AV147" s="35"/>
      <c r="AW147" s="51"/>
      <c r="AX147" s="53"/>
      <c r="AY147" s="35"/>
      <c r="AZ147" s="34"/>
      <c r="BA147" s="31"/>
      <c r="BB147" s="31"/>
      <c r="BC147" s="31"/>
      <c r="BD147" s="31"/>
      <c r="BE147" s="31"/>
      <c r="BF147" s="165"/>
      <c r="BG147" s="165"/>
      <c r="BH147" s="126"/>
      <c r="BI147" s="126"/>
      <c r="BJ147" s="660"/>
      <c r="BK147" s="660"/>
      <c r="BL147" s="661"/>
      <c r="BM147" s="659">
        <f t="shared" si="438"/>
        <v>0</v>
      </c>
      <c r="BN147" s="578" t="s">
        <v>235</v>
      </c>
      <c r="BO147" s="110"/>
      <c r="BP147" s="139"/>
      <c r="BQ147" s="654">
        <f t="shared" si="457"/>
        <v>0</v>
      </c>
      <c r="BR147" s="638"/>
      <c r="BS147" s="110"/>
      <c r="BT147" s="110"/>
      <c r="BU147" s="202"/>
      <c r="BV147" s="201">
        <f t="shared" si="439"/>
        <v>731</v>
      </c>
      <c r="BW147" s="439"/>
      <c r="BX147" s="201" t="str">
        <f t="shared" si="440"/>
        <v>oui</v>
      </c>
      <c r="BY147" s="557">
        <f t="shared" si="441"/>
        <v>-1540.2333333333333</v>
      </c>
      <c r="BZ147" s="439">
        <f t="shared" si="442"/>
        <v>0</v>
      </c>
      <c r="CA147" s="439">
        <f t="shared" si="443"/>
        <v>0</v>
      </c>
      <c r="CB147" s="339"/>
      <c r="CC147" s="822"/>
      <c r="CD147" s="822"/>
      <c r="CE147" s="343" t="str">
        <f t="shared" si="444"/>
        <v>0</v>
      </c>
      <c r="CF147" s="341"/>
      <c r="CG147" s="341"/>
      <c r="CH147" s="343" t="str">
        <f t="shared" si="445"/>
        <v>0</v>
      </c>
      <c r="CI147" s="341"/>
      <c r="CJ147" s="341"/>
      <c r="CK147" s="343" t="str">
        <f t="shared" si="446"/>
        <v>0</v>
      </c>
      <c r="CL147" s="341"/>
      <c r="CM147" s="341"/>
      <c r="CN147" s="343" t="str">
        <f t="shared" si="447"/>
        <v>0</v>
      </c>
      <c r="CO147" s="341"/>
      <c r="CP147" s="341"/>
      <c r="CQ147" s="343" t="str">
        <f t="shared" si="448"/>
        <v>0</v>
      </c>
      <c r="CR147" s="779"/>
      <c r="CS147" s="823"/>
      <c r="CT147" s="330"/>
      <c r="CU147" s="331"/>
      <c r="CV147" s="332"/>
      <c r="CW147" s="330"/>
      <c r="CX147" s="449">
        <v>45111</v>
      </c>
      <c r="CY147" s="224"/>
      <c r="CZ147" s="284">
        <f t="shared" si="415"/>
        <v>1503.7</v>
      </c>
      <c r="DA147" s="332" t="str">
        <f t="shared" si="397"/>
        <v>0</v>
      </c>
      <c r="DB147" s="450">
        <v>56</v>
      </c>
      <c r="DC147" s="169">
        <f t="shared" si="398"/>
        <v>59</v>
      </c>
      <c r="DD147" s="330"/>
      <c r="DE147" s="335">
        <f t="shared" ca="1" si="478"/>
        <v>43950</v>
      </c>
      <c r="DF147" s="332" t="str">
        <f t="shared" ca="1" si="411"/>
        <v>0</v>
      </c>
      <c r="DG147" s="330"/>
      <c r="DH147" s="348">
        <f t="shared" ca="1" si="479"/>
        <v>43950</v>
      </c>
      <c r="DI147" s="333" t="str">
        <f t="shared" ca="1" si="399"/>
        <v>0</v>
      </c>
      <c r="DJ147" s="334"/>
      <c r="DK147" s="348">
        <f t="shared" ca="1" si="480"/>
        <v>43950</v>
      </c>
      <c r="DL147" s="332" t="str">
        <f t="shared" ca="1" si="421"/>
        <v>0</v>
      </c>
      <c r="DM147" s="335">
        <v>43556</v>
      </c>
      <c r="DN147" s="335">
        <f t="shared" ca="1" si="481"/>
        <v>43950</v>
      </c>
      <c r="DO147" s="332">
        <f t="shared" ca="1" si="400"/>
        <v>394</v>
      </c>
      <c r="DP147" s="336"/>
      <c r="DQ147" s="336"/>
      <c r="DR147" s="332" t="str">
        <f t="shared" si="401"/>
        <v>0</v>
      </c>
      <c r="DS147" s="335"/>
      <c r="DT147" s="335">
        <f t="shared" ca="1" si="482"/>
        <v>43950</v>
      </c>
      <c r="DU147" s="332" t="str">
        <f t="shared" ca="1" si="402"/>
        <v>0</v>
      </c>
      <c r="DV147" s="335">
        <v>43633</v>
      </c>
      <c r="DW147" s="335">
        <f t="shared" ca="1" si="483"/>
        <v>43950</v>
      </c>
      <c r="DX147" s="332">
        <f t="shared" ca="1" si="403"/>
        <v>317</v>
      </c>
      <c r="DY147" s="335"/>
      <c r="DZ147" s="335"/>
      <c r="EA147" s="335"/>
      <c r="EB147" s="477">
        <f t="shared" si="423"/>
        <v>46816</v>
      </c>
      <c r="EC147" s="476">
        <f t="shared" si="484"/>
        <v>46908</v>
      </c>
      <c r="ED147" s="473">
        <f t="shared" si="417"/>
        <v>3.0666666666666669</v>
      </c>
      <c r="EE147" s="605">
        <f t="shared" ca="1" si="465"/>
        <v>98.6</v>
      </c>
      <c r="EF147" s="476">
        <f t="shared" ca="1" si="466"/>
        <v>44680</v>
      </c>
      <c r="EG147" s="535"/>
      <c r="EH147" s="526"/>
      <c r="EI147" s="536">
        <f t="shared" si="485"/>
        <v>47032</v>
      </c>
      <c r="EJ147" s="295"/>
      <c r="EK147" s="534">
        <f t="shared" si="384"/>
        <v>46847</v>
      </c>
      <c r="EL147" s="476">
        <f t="shared" si="486"/>
        <v>46938</v>
      </c>
      <c r="EM147" s="368"/>
      <c r="EN147" s="471">
        <f t="shared" si="476"/>
        <v>3.0333333333333332</v>
      </c>
      <c r="EO147" s="173"/>
      <c r="EP147" s="173">
        <f t="shared" si="430"/>
        <v>0</v>
      </c>
      <c r="EQ147" s="77"/>
      <c r="ER147" s="353"/>
      <c r="ES147" s="353"/>
      <c r="ET147" s="353"/>
      <c r="EU147" s="353"/>
      <c r="EV147" s="353"/>
      <c r="EW147" s="483" t="e">
        <f t="shared" si="449"/>
        <v>#DIV/0!</v>
      </c>
      <c r="EX147" s="350"/>
      <c r="EY147" s="362"/>
      <c r="EZ147" s="350"/>
      <c r="FA147" s="350"/>
      <c r="FB147" s="126">
        <f t="shared" ca="1" si="385"/>
        <v>44680</v>
      </c>
      <c r="FC147" s="80"/>
      <c r="FD147" s="80"/>
      <c r="FE147" s="80"/>
      <c r="FF147" s="80"/>
      <c r="FG147" s="80"/>
      <c r="FH147" s="31"/>
      <c r="FI147" s="194">
        <f t="shared" si="424"/>
        <v>47273</v>
      </c>
      <c r="FJ147" s="194"/>
      <c r="FK147" s="31"/>
      <c r="FL147" s="31"/>
      <c r="FM147" s="31"/>
      <c r="FN147" s="31"/>
      <c r="FO147" s="31"/>
      <c r="FP147" s="31"/>
      <c r="FQ147" s="31"/>
      <c r="FR147" s="31"/>
      <c r="FS147" s="31"/>
      <c r="FT147" s="31"/>
      <c r="FU147" s="31"/>
      <c r="FV147" s="31"/>
      <c r="FW147" s="31"/>
      <c r="FX147" s="529"/>
      <c r="FY147" s="652">
        <f t="shared" si="418"/>
        <v>0</v>
      </c>
      <c r="FZ147" s="550">
        <f t="shared" si="471"/>
        <v>0</v>
      </c>
      <c r="GA147" s="45">
        <f t="shared" si="412"/>
        <v>0</v>
      </c>
      <c r="GB147" s="602">
        <f t="shared" si="487"/>
        <v>0</v>
      </c>
      <c r="GC147" s="28" t="e">
        <f t="shared" si="419"/>
        <v>#DIV/0!</v>
      </c>
      <c r="GD147" s="28" t="e">
        <f>#REF!/AD147</f>
        <v>#REF!</v>
      </c>
      <c r="GE147" s="45"/>
      <c r="GF147" s="417"/>
      <c r="GG147" s="28"/>
      <c r="GH147" s="45">
        <f t="shared" si="488"/>
        <v>0</v>
      </c>
      <c r="GI147" s="59"/>
      <c r="GJ147" s="59"/>
      <c r="GK147" s="407">
        <f t="shared" si="432"/>
        <v>0</v>
      </c>
      <c r="GL147" s="45"/>
      <c r="GM147" s="45"/>
      <c r="GN147" s="45"/>
      <c r="GO147" s="60" t="e">
        <f t="shared" si="420"/>
        <v>#DIV/0!</v>
      </c>
      <c r="GP147" s="45"/>
      <c r="GQ147" s="45"/>
      <c r="GR147" s="45"/>
      <c r="GS147" s="28">
        <f t="shared" si="450"/>
        <v>0</v>
      </c>
      <c r="GT147" s="28">
        <f t="shared" si="451"/>
        <v>0</v>
      </c>
      <c r="GU147" s="682"/>
      <c r="GV147" s="682"/>
      <c r="GW147" s="682" t="e">
        <f>(#REF!+#REF!+GV147)/AD147</f>
        <v>#REF!</v>
      </c>
      <c r="GX147" s="682"/>
      <c r="GY147" s="682">
        <f t="shared" si="452"/>
        <v>0</v>
      </c>
      <c r="GZ147" s="681" t="e">
        <f t="shared" si="472"/>
        <v>#DIV/0!</v>
      </c>
      <c r="HA147" s="682"/>
      <c r="HB147" s="682"/>
      <c r="HC147" s="45"/>
      <c r="HD147" s="602"/>
      <c r="HE147" s="608" t="e">
        <f t="shared" si="453"/>
        <v>#DIV/0!</v>
      </c>
      <c r="HF147" s="602">
        <f t="shared" si="454"/>
        <v>0</v>
      </c>
      <c r="HG147" s="602">
        <f t="shared" ca="1" si="489"/>
        <v>0</v>
      </c>
      <c r="HH147" s="608" t="e">
        <f t="shared" ca="1" si="490"/>
        <v>#DIV/0!</v>
      </c>
      <c r="HI147" s="602"/>
      <c r="HJ147" s="602">
        <f t="shared" si="474"/>
        <v>0</v>
      </c>
      <c r="HK147" s="602" t="e">
        <f t="shared" si="475"/>
        <v>#DIV/0!</v>
      </c>
      <c r="HL147" s="602"/>
      <c r="HM147" s="673"/>
      <c r="HN147" s="62"/>
      <c r="HO147" s="673"/>
      <c r="HP147" s="673">
        <f t="shared" si="456"/>
        <v>0</v>
      </c>
      <c r="HQ147" s="539"/>
      <c r="HR147" s="539"/>
      <c r="HS147" s="539"/>
      <c r="HT147" s="539"/>
      <c r="HU147" s="539"/>
      <c r="HV147" s="673"/>
      <c r="HW147" s="673">
        <f t="shared" si="477"/>
        <v>0</v>
      </c>
      <c r="HX147" s="539"/>
    </row>
    <row r="148" spans="1:232" ht="15" customHeight="1">
      <c r="A148" s="495" t="s">
        <v>628</v>
      </c>
      <c r="B148" s="31" t="s">
        <v>14</v>
      </c>
      <c r="C148" s="31" t="s">
        <v>90</v>
      </c>
      <c r="D148" s="31" t="s">
        <v>645</v>
      </c>
      <c r="E148" s="31"/>
      <c r="F148" s="31"/>
      <c r="G148" s="31"/>
      <c r="H148" s="33"/>
      <c r="I148" s="31"/>
      <c r="J148" s="31" t="s">
        <v>629</v>
      </c>
      <c r="K148" s="180" t="s">
        <v>630</v>
      </c>
      <c r="L148" s="114"/>
      <c r="M148" s="115"/>
      <c r="N148" s="116"/>
      <c r="O148" s="142">
        <v>5900</v>
      </c>
      <c r="P148" s="142"/>
      <c r="Q148" s="142"/>
      <c r="R148" s="142">
        <f t="shared" si="425"/>
        <v>0</v>
      </c>
      <c r="S148" s="142">
        <f t="shared" si="426"/>
        <v>0</v>
      </c>
      <c r="T148" s="148">
        <f t="shared" si="427"/>
        <v>0</v>
      </c>
      <c r="U148" s="148" t="e">
        <f t="shared" si="433"/>
        <v>#DIV/0!</v>
      </c>
      <c r="V148" s="148">
        <f t="shared" si="428"/>
        <v>0</v>
      </c>
      <c r="W148" s="142">
        <f t="shared" si="429"/>
        <v>393.33333333333331</v>
      </c>
      <c r="X148" s="143"/>
      <c r="Y148" s="525">
        <f t="shared" si="434"/>
        <v>25.423728813559322</v>
      </c>
      <c r="Z148" s="143" t="s">
        <v>631</v>
      </c>
      <c r="AA148" s="143"/>
      <c r="AB148" s="144"/>
      <c r="AC148" s="31" t="s">
        <v>10</v>
      </c>
      <c r="AD148" s="493">
        <f t="shared" si="416"/>
        <v>15</v>
      </c>
      <c r="AE148" s="494">
        <f t="shared" si="435"/>
        <v>15</v>
      </c>
      <c r="AF148" s="42"/>
      <c r="AG148" s="31">
        <v>15</v>
      </c>
      <c r="AH148" s="42"/>
      <c r="AI148" s="42"/>
      <c r="AJ148" s="797"/>
      <c r="AK148" s="276"/>
      <c r="AL148" s="586">
        <f t="shared" si="436"/>
        <v>0</v>
      </c>
      <c r="AM148" s="8">
        <f t="shared" si="437"/>
        <v>0</v>
      </c>
      <c r="AN148" s="35"/>
      <c r="AO148" s="35"/>
      <c r="AP148" s="35"/>
      <c r="AQ148" s="53"/>
      <c r="AR148" s="53"/>
      <c r="AS148" s="53"/>
      <c r="AT148" s="53"/>
      <c r="AU148" s="53"/>
      <c r="AV148" s="35"/>
      <c r="AW148" s="51"/>
      <c r="AX148" s="53"/>
      <c r="AY148" s="35"/>
      <c r="AZ148" s="34"/>
      <c r="BA148" s="31"/>
      <c r="BB148" s="31"/>
      <c r="BC148" s="31"/>
      <c r="BD148" s="31"/>
      <c r="BE148" s="31"/>
      <c r="BF148" s="165"/>
      <c r="BG148" s="165"/>
      <c r="BH148" s="126"/>
      <c r="BI148" s="126"/>
      <c r="BJ148" s="660"/>
      <c r="BK148" s="660"/>
      <c r="BL148" s="661"/>
      <c r="BM148" s="659">
        <f t="shared" si="438"/>
        <v>0</v>
      </c>
      <c r="BN148" s="578" t="s">
        <v>235</v>
      </c>
      <c r="BO148" s="110"/>
      <c r="BP148" s="139"/>
      <c r="BQ148" s="654">
        <f t="shared" si="457"/>
        <v>0</v>
      </c>
      <c r="BR148" s="638"/>
      <c r="BS148" s="110"/>
      <c r="BT148" s="110"/>
      <c r="BU148" s="202"/>
      <c r="BV148" s="201">
        <f t="shared" si="439"/>
        <v>731</v>
      </c>
      <c r="BW148" s="439"/>
      <c r="BX148" s="201" t="str">
        <f t="shared" si="440"/>
        <v>oui</v>
      </c>
      <c r="BY148" s="557">
        <f t="shared" si="441"/>
        <v>-1541.3</v>
      </c>
      <c r="BZ148" s="439">
        <f t="shared" si="442"/>
        <v>0</v>
      </c>
      <c r="CA148" s="439">
        <f t="shared" si="443"/>
        <v>0</v>
      </c>
      <c r="CB148" s="339"/>
      <c r="CC148" s="341"/>
      <c r="CD148" s="341"/>
      <c r="CE148" s="343" t="str">
        <f t="shared" si="444"/>
        <v>0</v>
      </c>
      <c r="CF148" s="341"/>
      <c r="CG148" s="341"/>
      <c r="CH148" s="343" t="str">
        <f t="shared" si="445"/>
        <v>0</v>
      </c>
      <c r="CI148" s="341"/>
      <c r="CJ148" s="341"/>
      <c r="CK148" s="343" t="str">
        <f t="shared" si="446"/>
        <v>0</v>
      </c>
      <c r="CL148" s="341"/>
      <c r="CM148" s="341"/>
      <c r="CN148" s="343" t="str">
        <f t="shared" si="447"/>
        <v>0</v>
      </c>
      <c r="CO148" s="341"/>
      <c r="CP148" s="341"/>
      <c r="CQ148" s="343" t="str">
        <f t="shared" si="448"/>
        <v>0</v>
      </c>
      <c r="CR148" s="290"/>
      <c r="CS148" s="345"/>
      <c r="CT148" s="330"/>
      <c r="CU148" s="331"/>
      <c r="CV148" s="332"/>
      <c r="CW148" s="330"/>
      <c r="CX148" s="449">
        <v>45112</v>
      </c>
      <c r="CY148" s="233"/>
      <c r="CZ148" s="284">
        <f t="shared" si="415"/>
        <v>1503.7333333333333</v>
      </c>
      <c r="DA148" s="332" t="str">
        <f t="shared" si="397"/>
        <v>0</v>
      </c>
      <c r="DB148" s="450">
        <v>57</v>
      </c>
      <c r="DC148" s="169">
        <f t="shared" si="398"/>
        <v>60</v>
      </c>
      <c r="DD148" s="330"/>
      <c r="DE148" s="335">
        <f t="shared" ca="1" si="478"/>
        <v>43950</v>
      </c>
      <c r="DF148" s="332" t="str">
        <f t="shared" ca="1" si="411"/>
        <v>0</v>
      </c>
      <c r="DG148" s="330"/>
      <c r="DH148" s="348">
        <f t="shared" ca="1" si="479"/>
        <v>43950</v>
      </c>
      <c r="DI148" s="333" t="str">
        <f t="shared" ca="1" si="399"/>
        <v>0</v>
      </c>
      <c r="DJ148" s="334"/>
      <c r="DK148" s="348">
        <f t="shared" ca="1" si="480"/>
        <v>43950</v>
      </c>
      <c r="DL148" s="332" t="str">
        <f t="shared" ca="1" si="421"/>
        <v>0</v>
      </c>
      <c r="DM148" s="335">
        <v>43557</v>
      </c>
      <c r="DN148" s="335">
        <f t="shared" ca="1" si="481"/>
        <v>43950</v>
      </c>
      <c r="DO148" s="332">
        <f t="shared" ca="1" si="400"/>
        <v>393</v>
      </c>
      <c r="DP148" s="336"/>
      <c r="DQ148" s="336"/>
      <c r="DR148" s="332" t="str">
        <f t="shared" si="401"/>
        <v>0</v>
      </c>
      <c r="DS148" s="335"/>
      <c r="DT148" s="335">
        <f t="shared" ca="1" si="482"/>
        <v>43950</v>
      </c>
      <c r="DU148" s="332" t="str">
        <f t="shared" ca="1" si="402"/>
        <v>0</v>
      </c>
      <c r="DV148" s="335">
        <v>43634</v>
      </c>
      <c r="DW148" s="335">
        <f t="shared" ca="1" si="483"/>
        <v>43950</v>
      </c>
      <c r="DX148" s="332">
        <f t="shared" ca="1" si="403"/>
        <v>316</v>
      </c>
      <c r="DY148" s="335"/>
      <c r="DZ148" s="335"/>
      <c r="EA148" s="335"/>
      <c r="EB148" s="477">
        <f t="shared" si="423"/>
        <v>46848</v>
      </c>
      <c r="EC148" s="476">
        <f t="shared" si="484"/>
        <v>46939</v>
      </c>
      <c r="ED148" s="473">
        <f t="shared" si="417"/>
        <v>3.0333333333333332</v>
      </c>
      <c r="EE148" s="605">
        <f t="shared" ca="1" si="465"/>
        <v>99.63333333333334</v>
      </c>
      <c r="EF148" s="476">
        <f t="shared" ca="1" si="466"/>
        <v>44680</v>
      </c>
      <c r="EG148" s="535"/>
      <c r="EH148" s="526"/>
      <c r="EI148" s="536">
        <f t="shared" si="485"/>
        <v>47064</v>
      </c>
      <c r="EJ148" s="295"/>
      <c r="EK148" s="534">
        <f t="shared" si="384"/>
        <v>46878</v>
      </c>
      <c r="EL148" s="476">
        <f t="shared" si="486"/>
        <v>46970</v>
      </c>
      <c r="EM148" s="368"/>
      <c r="EN148" s="471">
        <f t="shared" si="476"/>
        <v>3.0666666666666669</v>
      </c>
      <c r="EO148" s="461"/>
      <c r="EP148" s="173">
        <f t="shared" si="430"/>
        <v>0</v>
      </c>
      <c r="EQ148" s="77"/>
      <c r="ER148" s="353"/>
      <c r="ES148" s="353"/>
      <c r="ET148" s="353"/>
      <c r="EU148" s="353"/>
      <c r="EV148" s="482"/>
      <c r="EW148" s="483" t="e">
        <f t="shared" si="449"/>
        <v>#DIV/0!</v>
      </c>
      <c r="EX148" s="350"/>
      <c r="EY148" s="362"/>
      <c r="EZ148" s="355"/>
      <c r="FA148" s="355"/>
      <c r="FB148" s="126">
        <f t="shared" ca="1" si="385"/>
        <v>44680</v>
      </c>
      <c r="FC148" s="80"/>
      <c r="FD148" s="80"/>
      <c r="FE148" s="80"/>
      <c r="FF148" s="80"/>
      <c r="FG148" s="80"/>
      <c r="FH148" s="31"/>
      <c r="FI148" s="194">
        <f t="shared" si="424"/>
        <v>47304</v>
      </c>
      <c r="FJ148" s="194"/>
      <c r="FK148" s="31"/>
      <c r="FL148" s="31"/>
      <c r="FM148" s="31"/>
      <c r="FN148" s="31"/>
      <c r="FO148" s="31"/>
      <c r="FP148" s="31"/>
      <c r="FQ148" s="31"/>
      <c r="FR148" s="31"/>
      <c r="FS148" s="31"/>
      <c r="FT148" s="31"/>
      <c r="FU148" s="31"/>
      <c r="FV148" s="31"/>
      <c r="FW148" s="31"/>
      <c r="FX148" s="529"/>
      <c r="FY148" s="652">
        <f t="shared" si="418"/>
        <v>0</v>
      </c>
      <c r="FZ148" s="550">
        <f t="shared" si="471"/>
        <v>0</v>
      </c>
      <c r="GA148" s="45">
        <f t="shared" si="412"/>
        <v>0</v>
      </c>
      <c r="GB148" s="602">
        <f t="shared" si="487"/>
        <v>0</v>
      </c>
      <c r="GC148" s="28" t="e">
        <f t="shared" si="419"/>
        <v>#DIV/0!</v>
      </c>
      <c r="GD148" s="28" t="e">
        <f>#REF!/AD148</f>
        <v>#REF!</v>
      </c>
      <c r="GE148" s="45"/>
      <c r="GF148" s="417"/>
      <c r="GG148" s="28"/>
      <c r="GH148" s="45">
        <f t="shared" si="488"/>
        <v>0</v>
      </c>
      <c r="GI148" s="59"/>
      <c r="GJ148" s="59"/>
      <c r="GK148" s="408">
        <f t="shared" si="432"/>
        <v>0</v>
      </c>
      <c r="GL148" s="45"/>
      <c r="GM148" s="45"/>
      <c r="GN148" s="45"/>
      <c r="GO148" s="60" t="e">
        <f t="shared" si="420"/>
        <v>#DIV/0!</v>
      </c>
      <c r="GP148" s="45"/>
      <c r="GQ148" s="45"/>
      <c r="GR148" s="45"/>
      <c r="GS148" s="28">
        <f t="shared" si="450"/>
        <v>0</v>
      </c>
      <c r="GT148" s="28">
        <f t="shared" si="451"/>
        <v>0</v>
      </c>
      <c r="GU148" s="682"/>
      <c r="GV148" s="682"/>
      <c r="GW148" s="682" t="e">
        <f>(#REF!+#REF!+GV148)/AD148</f>
        <v>#REF!</v>
      </c>
      <c r="GX148" s="682"/>
      <c r="GY148" s="682">
        <f t="shared" si="452"/>
        <v>0</v>
      </c>
      <c r="GZ148" s="681" t="e">
        <f t="shared" si="472"/>
        <v>#DIV/0!</v>
      </c>
      <c r="HA148" s="682"/>
      <c r="HB148" s="682"/>
      <c r="HC148" s="45"/>
      <c r="HD148" s="602"/>
      <c r="HE148" s="608" t="e">
        <f t="shared" si="453"/>
        <v>#DIV/0!</v>
      </c>
      <c r="HF148" s="602">
        <f t="shared" si="454"/>
        <v>0</v>
      </c>
      <c r="HG148" s="602">
        <f t="shared" ca="1" si="489"/>
        <v>0</v>
      </c>
      <c r="HH148" s="608" t="e">
        <f t="shared" ca="1" si="490"/>
        <v>#DIV/0!</v>
      </c>
      <c r="HI148" s="602"/>
      <c r="HJ148" s="602">
        <f t="shared" si="474"/>
        <v>0</v>
      </c>
      <c r="HK148" s="602" t="e">
        <f t="shared" si="475"/>
        <v>#DIV/0!</v>
      </c>
      <c r="HL148" s="602"/>
      <c r="HM148" s="673"/>
      <c r="HN148" s="62"/>
      <c r="HO148" s="673"/>
      <c r="HP148" s="673">
        <f t="shared" si="456"/>
        <v>0</v>
      </c>
      <c r="HQ148" s="539"/>
      <c r="HR148" s="539"/>
      <c r="HS148" s="539"/>
      <c r="HT148" s="539"/>
      <c r="HU148" s="539"/>
      <c r="HV148" s="673"/>
      <c r="HW148" s="673">
        <f t="shared" si="477"/>
        <v>0</v>
      </c>
      <c r="HX148" s="539"/>
    </row>
    <row r="149" spans="1:232" ht="15" customHeight="1">
      <c r="A149" s="63" t="s">
        <v>623</v>
      </c>
      <c r="B149" s="31" t="s">
        <v>14</v>
      </c>
      <c r="C149" s="31" t="s">
        <v>90</v>
      </c>
      <c r="D149" s="31" t="s">
        <v>645</v>
      </c>
      <c r="E149" s="31"/>
      <c r="F149" s="31"/>
      <c r="G149" s="31"/>
      <c r="H149" s="33"/>
      <c r="I149" s="31"/>
      <c r="J149" s="31" t="s">
        <v>624</v>
      </c>
      <c r="K149" s="180" t="s">
        <v>625</v>
      </c>
      <c r="L149" s="114"/>
      <c r="M149" s="115"/>
      <c r="N149" s="116"/>
      <c r="O149" s="142">
        <v>5300</v>
      </c>
      <c r="P149" s="142"/>
      <c r="Q149" s="142"/>
      <c r="R149" s="142">
        <f t="shared" si="425"/>
        <v>0</v>
      </c>
      <c r="S149" s="142">
        <f t="shared" si="426"/>
        <v>0</v>
      </c>
      <c r="T149" s="148">
        <f t="shared" si="427"/>
        <v>0</v>
      </c>
      <c r="U149" s="148" t="e">
        <f t="shared" si="433"/>
        <v>#DIV/0!</v>
      </c>
      <c r="V149" s="148">
        <f t="shared" si="428"/>
        <v>0</v>
      </c>
      <c r="W149" s="142">
        <f t="shared" si="429"/>
        <v>151.42857142857142</v>
      </c>
      <c r="X149" s="143"/>
      <c r="Y149" s="525">
        <f t="shared" si="434"/>
        <v>66.037735849056602</v>
      </c>
      <c r="Z149" s="143"/>
      <c r="AA149" s="143"/>
      <c r="AB149" s="144"/>
      <c r="AC149" s="31" t="s">
        <v>10</v>
      </c>
      <c r="AD149" s="493">
        <f t="shared" si="416"/>
        <v>35</v>
      </c>
      <c r="AE149" s="494">
        <f t="shared" si="435"/>
        <v>35</v>
      </c>
      <c r="AF149" s="42"/>
      <c r="AG149" s="31">
        <v>35</v>
      </c>
      <c r="AH149" s="42"/>
      <c r="AI149" s="42"/>
      <c r="AJ149" s="797"/>
      <c r="AK149" s="276"/>
      <c r="AL149" s="586">
        <f t="shared" si="436"/>
        <v>0</v>
      </c>
      <c r="AM149" s="8">
        <f t="shared" si="437"/>
        <v>0</v>
      </c>
      <c r="AN149" s="35"/>
      <c r="AO149" s="35"/>
      <c r="AP149" s="35"/>
      <c r="AQ149" s="53"/>
      <c r="AR149" s="53"/>
      <c r="AS149" s="53"/>
      <c r="AT149" s="53"/>
      <c r="AU149" s="53"/>
      <c r="AV149" s="35"/>
      <c r="AW149" s="51"/>
      <c r="AX149" s="53"/>
      <c r="AY149" s="35"/>
      <c r="AZ149" s="34"/>
      <c r="BA149" s="31"/>
      <c r="BB149" s="31"/>
      <c r="BC149" s="31"/>
      <c r="BD149" s="31"/>
      <c r="BE149" s="31"/>
      <c r="BF149" s="165"/>
      <c r="BG149" s="165"/>
      <c r="BH149" s="126"/>
      <c r="BI149" s="126"/>
      <c r="BJ149" s="660"/>
      <c r="BK149" s="660"/>
      <c r="BL149" s="661"/>
      <c r="BM149" s="659">
        <f t="shared" si="438"/>
        <v>0</v>
      </c>
      <c r="BN149" s="578" t="s">
        <v>235</v>
      </c>
      <c r="BO149" s="110"/>
      <c r="BP149" s="139"/>
      <c r="BQ149" s="654">
        <f t="shared" si="457"/>
        <v>0</v>
      </c>
      <c r="BR149" s="638"/>
      <c r="BS149" s="110"/>
      <c r="BT149" s="110"/>
      <c r="BU149" s="202"/>
      <c r="BV149" s="201">
        <f t="shared" si="439"/>
        <v>731</v>
      </c>
      <c r="BW149" s="439"/>
      <c r="BX149" s="201" t="str">
        <f t="shared" si="440"/>
        <v>oui</v>
      </c>
      <c r="BY149" s="557">
        <f t="shared" si="441"/>
        <v>-1542.4</v>
      </c>
      <c r="BZ149" s="439">
        <f t="shared" si="442"/>
        <v>0</v>
      </c>
      <c r="CA149" s="439">
        <f t="shared" si="443"/>
        <v>0</v>
      </c>
      <c r="CB149" s="339"/>
      <c r="CC149" s="341"/>
      <c r="CD149" s="341"/>
      <c r="CE149" s="343" t="str">
        <f t="shared" si="444"/>
        <v>0</v>
      </c>
      <c r="CF149" s="341"/>
      <c r="CG149" s="341"/>
      <c r="CH149" s="343" t="str">
        <f t="shared" si="445"/>
        <v>0</v>
      </c>
      <c r="CI149" s="341"/>
      <c r="CJ149" s="341"/>
      <c r="CK149" s="343" t="str">
        <f t="shared" si="446"/>
        <v>0</v>
      </c>
      <c r="CL149" s="341"/>
      <c r="CM149" s="341"/>
      <c r="CN149" s="343" t="str">
        <f t="shared" si="447"/>
        <v>0</v>
      </c>
      <c r="CO149" s="341"/>
      <c r="CP149" s="341"/>
      <c r="CQ149" s="343" t="str">
        <f t="shared" si="448"/>
        <v>0</v>
      </c>
      <c r="CR149" s="290"/>
      <c r="CS149" s="345"/>
      <c r="CT149" s="330"/>
      <c r="CU149" s="331"/>
      <c r="CV149" s="332"/>
      <c r="CW149" s="330"/>
      <c r="CX149" s="449">
        <v>45114</v>
      </c>
      <c r="CY149" s="233"/>
      <c r="CZ149" s="284">
        <f t="shared" si="415"/>
        <v>1503.8</v>
      </c>
      <c r="DA149" s="332" t="str">
        <f t="shared" si="397"/>
        <v>0</v>
      </c>
      <c r="DB149" s="450">
        <v>58</v>
      </c>
      <c r="DC149" s="169">
        <f t="shared" si="398"/>
        <v>61</v>
      </c>
      <c r="DD149" s="330"/>
      <c r="DE149" s="335">
        <f t="shared" ca="1" si="478"/>
        <v>43950</v>
      </c>
      <c r="DF149" s="332" t="str">
        <f t="shared" ca="1" si="411"/>
        <v>0</v>
      </c>
      <c r="DG149" s="330"/>
      <c r="DH149" s="348">
        <f t="shared" ca="1" si="479"/>
        <v>43950</v>
      </c>
      <c r="DI149" s="333" t="str">
        <f t="shared" ca="1" si="399"/>
        <v>0</v>
      </c>
      <c r="DJ149" s="334"/>
      <c r="DK149" s="348">
        <f t="shared" ca="1" si="480"/>
        <v>43950</v>
      </c>
      <c r="DL149" s="332" t="str">
        <f t="shared" ca="1" si="421"/>
        <v>0</v>
      </c>
      <c r="DM149" s="335">
        <v>43558</v>
      </c>
      <c r="DN149" s="335">
        <f t="shared" ca="1" si="481"/>
        <v>43950</v>
      </c>
      <c r="DO149" s="332">
        <f t="shared" ca="1" si="400"/>
        <v>392</v>
      </c>
      <c r="DP149" s="336"/>
      <c r="DQ149" s="336"/>
      <c r="DR149" s="332" t="str">
        <f t="shared" si="401"/>
        <v>0</v>
      </c>
      <c r="DS149" s="335"/>
      <c r="DT149" s="335">
        <f t="shared" ca="1" si="482"/>
        <v>43950</v>
      </c>
      <c r="DU149" s="332" t="str">
        <f t="shared" ca="1" si="402"/>
        <v>0</v>
      </c>
      <c r="DV149" s="335">
        <v>43635</v>
      </c>
      <c r="DW149" s="335">
        <f t="shared" ca="1" si="483"/>
        <v>43950</v>
      </c>
      <c r="DX149" s="332">
        <f t="shared" ca="1" si="403"/>
        <v>315</v>
      </c>
      <c r="DY149" s="335"/>
      <c r="DZ149" s="335"/>
      <c r="EA149" s="335"/>
      <c r="EB149" s="477">
        <f t="shared" si="423"/>
        <v>46880</v>
      </c>
      <c r="EC149" s="476">
        <f t="shared" si="484"/>
        <v>46972</v>
      </c>
      <c r="ED149" s="473">
        <f t="shared" si="417"/>
        <v>3.0666666666666669</v>
      </c>
      <c r="EE149" s="605">
        <f t="shared" ca="1" si="465"/>
        <v>100.73333333333333</v>
      </c>
      <c r="EF149" s="476">
        <f t="shared" ca="1" si="466"/>
        <v>44680</v>
      </c>
      <c r="EG149" s="535"/>
      <c r="EH149" s="526"/>
      <c r="EI149" s="536">
        <f t="shared" si="485"/>
        <v>47096</v>
      </c>
      <c r="EJ149" s="295"/>
      <c r="EK149" s="534">
        <f t="shared" si="384"/>
        <v>46911</v>
      </c>
      <c r="EL149" s="476">
        <f t="shared" si="486"/>
        <v>47003</v>
      </c>
      <c r="EM149" s="368"/>
      <c r="EN149" s="471">
        <f t="shared" si="476"/>
        <v>3.0666666666666669</v>
      </c>
      <c r="EO149" s="461"/>
      <c r="EP149" s="173">
        <f t="shared" si="430"/>
        <v>0</v>
      </c>
      <c r="EQ149" s="77"/>
      <c r="ER149" s="353"/>
      <c r="ES149" s="353"/>
      <c r="ET149" s="353"/>
      <c r="EU149" s="353"/>
      <c r="EV149" s="482"/>
      <c r="EW149" s="483" t="e">
        <f t="shared" si="449"/>
        <v>#DIV/0!</v>
      </c>
      <c r="EX149" s="350"/>
      <c r="EY149" s="362"/>
      <c r="EZ149" s="355"/>
      <c r="FA149" s="355"/>
      <c r="FB149" s="126">
        <f t="shared" ca="1" si="385"/>
        <v>44680</v>
      </c>
      <c r="FC149" s="80"/>
      <c r="FD149" s="80"/>
      <c r="FE149" s="80"/>
      <c r="FF149" s="80"/>
      <c r="FG149" s="80"/>
      <c r="FH149" s="31"/>
      <c r="FI149" s="194">
        <f t="shared" si="424"/>
        <v>47337</v>
      </c>
      <c r="FJ149" s="194"/>
      <c r="FK149" s="31"/>
      <c r="FL149" s="31"/>
      <c r="FM149" s="31"/>
      <c r="FN149" s="31"/>
      <c r="FO149" s="31"/>
      <c r="FP149" s="31"/>
      <c r="FQ149" s="31"/>
      <c r="FR149" s="31"/>
      <c r="FS149" s="31"/>
      <c r="FT149" s="31"/>
      <c r="FU149" s="31"/>
      <c r="FV149" s="31"/>
      <c r="FW149" s="31"/>
      <c r="FX149" s="529"/>
      <c r="FY149" s="652">
        <f t="shared" si="418"/>
        <v>0</v>
      </c>
      <c r="FZ149" s="550">
        <f t="shared" si="471"/>
        <v>0</v>
      </c>
      <c r="GA149" s="45">
        <f t="shared" si="412"/>
        <v>0</v>
      </c>
      <c r="GB149" s="602">
        <f t="shared" si="487"/>
        <v>0</v>
      </c>
      <c r="GC149" s="28" t="e">
        <f t="shared" si="419"/>
        <v>#DIV/0!</v>
      </c>
      <c r="GD149" s="28" t="e">
        <f>#REF!/AD149</f>
        <v>#REF!</v>
      </c>
      <c r="GE149" s="45"/>
      <c r="GF149" s="417"/>
      <c r="GG149" s="28"/>
      <c r="GH149" s="45">
        <f t="shared" si="488"/>
        <v>0</v>
      </c>
      <c r="GI149" s="59"/>
      <c r="GJ149" s="59"/>
      <c r="GK149" s="407">
        <f t="shared" si="432"/>
        <v>0</v>
      </c>
      <c r="GL149" s="45"/>
      <c r="GM149" s="45"/>
      <c r="GN149" s="45"/>
      <c r="GO149" s="60" t="e">
        <f t="shared" si="420"/>
        <v>#DIV/0!</v>
      </c>
      <c r="GP149" s="45"/>
      <c r="GQ149" s="45"/>
      <c r="GR149" s="45"/>
      <c r="GS149" s="28">
        <f t="shared" si="450"/>
        <v>0</v>
      </c>
      <c r="GT149" s="28">
        <f t="shared" si="451"/>
        <v>0</v>
      </c>
      <c r="GU149" s="682"/>
      <c r="GV149" s="682"/>
      <c r="GW149" s="682" t="e">
        <f>(#REF!+#REF!+GV149)/AD149</f>
        <v>#REF!</v>
      </c>
      <c r="GX149" s="682"/>
      <c r="GY149" s="682">
        <f t="shared" si="452"/>
        <v>0</v>
      </c>
      <c r="GZ149" s="681" t="e">
        <f t="shared" si="472"/>
        <v>#DIV/0!</v>
      </c>
      <c r="HA149" s="682"/>
      <c r="HB149" s="682"/>
      <c r="HC149" s="45"/>
      <c r="HD149" s="602"/>
      <c r="HE149" s="608" t="e">
        <f t="shared" si="453"/>
        <v>#DIV/0!</v>
      </c>
      <c r="HF149" s="602">
        <f t="shared" si="454"/>
        <v>0</v>
      </c>
      <c r="HG149" s="602">
        <f t="shared" ca="1" si="489"/>
        <v>0</v>
      </c>
      <c r="HH149" s="608" t="e">
        <f t="shared" ca="1" si="490"/>
        <v>#DIV/0!</v>
      </c>
      <c r="HI149" s="602"/>
      <c r="HJ149" s="602">
        <f t="shared" si="474"/>
        <v>0</v>
      </c>
      <c r="HK149" s="602" t="e">
        <f t="shared" si="475"/>
        <v>#DIV/0!</v>
      </c>
      <c r="HL149" s="602"/>
      <c r="HM149" s="673"/>
      <c r="HN149" s="62"/>
      <c r="HO149" s="673"/>
      <c r="HP149" s="673">
        <f t="shared" si="456"/>
        <v>0</v>
      </c>
      <c r="HQ149" s="539"/>
      <c r="HR149" s="539"/>
      <c r="HS149" s="539"/>
      <c r="HT149" s="539"/>
      <c r="HU149" s="539"/>
      <c r="HV149" s="673"/>
      <c r="HW149" s="673">
        <f t="shared" si="477"/>
        <v>0</v>
      </c>
      <c r="HX149" s="539"/>
    </row>
    <row r="150" spans="1:232" ht="15" customHeight="1">
      <c r="A150" s="63" t="s">
        <v>620</v>
      </c>
      <c r="B150" s="31" t="s">
        <v>14</v>
      </c>
      <c r="C150" s="31" t="s">
        <v>90</v>
      </c>
      <c r="D150" s="31" t="s">
        <v>645</v>
      </c>
      <c r="E150" s="31"/>
      <c r="F150" s="31"/>
      <c r="G150" s="31"/>
      <c r="H150" s="33"/>
      <c r="I150" s="31"/>
      <c r="J150" s="31" t="s">
        <v>733</v>
      </c>
      <c r="K150" s="180" t="s">
        <v>622</v>
      </c>
      <c r="L150" s="114"/>
      <c r="M150" s="115"/>
      <c r="N150" s="116"/>
      <c r="O150" s="142">
        <v>8400</v>
      </c>
      <c r="P150" s="142"/>
      <c r="Q150" s="142"/>
      <c r="R150" s="142">
        <f t="shared" si="425"/>
        <v>0</v>
      </c>
      <c r="S150" s="142">
        <f t="shared" si="426"/>
        <v>0</v>
      </c>
      <c r="T150" s="148">
        <f t="shared" si="427"/>
        <v>0</v>
      </c>
      <c r="U150" s="148" t="e">
        <f t="shared" si="433"/>
        <v>#DIV/0!</v>
      </c>
      <c r="V150" s="148">
        <f t="shared" si="428"/>
        <v>0</v>
      </c>
      <c r="W150" s="142">
        <f t="shared" si="429"/>
        <v>280</v>
      </c>
      <c r="X150" s="143"/>
      <c r="Y150" s="525">
        <f t="shared" si="434"/>
        <v>35.714285714285715</v>
      </c>
      <c r="Z150" s="143" t="s">
        <v>621</v>
      </c>
      <c r="AA150" s="143"/>
      <c r="AB150" s="144"/>
      <c r="AC150" s="31" t="s">
        <v>10</v>
      </c>
      <c r="AD150" s="493">
        <f t="shared" si="416"/>
        <v>30</v>
      </c>
      <c r="AE150" s="494">
        <f t="shared" si="435"/>
        <v>30</v>
      </c>
      <c r="AF150" s="42"/>
      <c r="AG150" s="31">
        <v>30</v>
      </c>
      <c r="AH150" s="42"/>
      <c r="AI150" s="42"/>
      <c r="AJ150" s="797"/>
      <c r="AK150" s="276"/>
      <c r="AL150" s="586">
        <f t="shared" si="436"/>
        <v>0</v>
      </c>
      <c r="AM150" s="8">
        <f t="shared" si="437"/>
        <v>0</v>
      </c>
      <c r="AN150" s="35"/>
      <c r="AO150" s="35"/>
      <c r="AP150" s="35"/>
      <c r="AQ150" s="53"/>
      <c r="AR150" s="53"/>
      <c r="AS150" s="53"/>
      <c r="AT150" s="53"/>
      <c r="AU150" s="53"/>
      <c r="AV150" s="35"/>
      <c r="AW150" s="51"/>
      <c r="AX150" s="53"/>
      <c r="AY150" s="35"/>
      <c r="AZ150" s="34"/>
      <c r="BA150" s="31"/>
      <c r="BB150" s="31"/>
      <c r="BC150" s="31"/>
      <c r="BD150" s="31"/>
      <c r="BE150" s="31"/>
      <c r="BF150" s="165"/>
      <c r="BG150" s="165"/>
      <c r="BH150" s="126"/>
      <c r="BI150" s="126"/>
      <c r="BJ150" s="660"/>
      <c r="BK150" s="660"/>
      <c r="BL150" s="661"/>
      <c r="BM150" s="659">
        <f t="shared" si="438"/>
        <v>0</v>
      </c>
      <c r="BN150" s="578" t="s">
        <v>235</v>
      </c>
      <c r="BO150" s="110"/>
      <c r="BP150" s="139"/>
      <c r="BQ150" s="654">
        <f t="shared" si="457"/>
        <v>0</v>
      </c>
      <c r="BR150" s="638"/>
      <c r="BS150" s="110"/>
      <c r="BT150" s="110"/>
      <c r="BU150" s="202"/>
      <c r="BV150" s="201">
        <f t="shared" si="439"/>
        <v>731</v>
      </c>
      <c r="BW150" s="439"/>
      <c r="BX150" s="201" t="str">
        <f t="shared" si="440"/>
        <v>oui</v>
      </c>
      <c r="BY150" s="557">
        <f t="shared" si="441"/>
        <v>-1543.5333333333333</v>
      </c>
      <c r="BZ150" s="439">
        <f t="shared" si="442"/>
        <v>0</v>
      </c>
      <c r="CA150" s="439">
        <f t="shared" si="443"/>
        <v>0</v>
      </c>
      <c r="CB150" s="339"/>
      <c r="CC150" s="341"/>
      <c r="CD150" s="341"/>
      <c r="CE150" s="343" t="str">
        <f t="shared" si="444"/>
        <v>0</v>
      </c>
      <c r="CF150" s="341"/>
      <c r="CG150" s="341"/>
      <c r="CH150" s="343" t="str">
        <f t="shared" si="445"/>
        <v>0</v>
      </c>
      <c r="CI150" s="341"/>
      <c r="CJ150" s="341"/>
      <c r="CK150" s="343" t="str">
        <f t="shared" si="446"/>
        <v>0</v>
      </c>
      <c r="CL150" s="341"/>
      <c r="CM150" s="341"/>
      <c r="CN150" s="343" t="str">
        <f t="shared" si="447"/>
        <v>0</v>
      </c>
      <c r="CO150" s="341"/>
      <c r="CP150" s="341"/>
      <c r="CQ150" s="343" t="str">
        <f t="shared" si="448"/>
        <v>0</v>
      </c>
      <c r="CR150" s="290"/>
      <c r="CS150" s="345"/>
      <c r="CT150" s="330"/>
      <c r="CU150" s="331"/>
      <c r="CV150" s="332"/>
      <c r="CW150" s="330"/>
      <c r="CX150" s="449">
        <v>45118</v>
      </c>
      <c r="CY150" s="224"/>
      <c r="CZ150" s="284">
        <f t="shared" si="415"/>
        <v>1503.9333333333334</v>
      </c>
      <c r="DA150" s="332" t="str">
        <f t="shared" si="397"/>
        <v>0</v>
      </c>
      <c r="DB150" s="450">
        <v>59</v>
      </c>
      <c r="DC150" s="169">
        <f t="shared" si="398"/>
        <v>62</v>
      </c>
      <c r="DD150" s="330"/>
      <c r="DE150" s="335">
        <f t="shared" ca="1" si="478"/>
        <v>43950</v>
      </c>
      <c r="DF150" s="332" t="str">
        <f t="shared" ca="1" si="411"/>
        <v>0</v>
      </c>
      <c r="DG150" s="330"/>
      <c r="DH150" s="348">
        <f t="shared" ca="1" si="479"/>
        <v>43950</v>
      </c>
      <c r="DI150" s="333" t="str">
        <f t="shared" ref="DI150:DI181" ca="1" si="491">IF(AND(DG150&gt;0,DH150&gt;0),DH150-DG150,"0")</f>
        <v>0</v>
      </c>
      <c r="DJ150" s="334"/>
      <c r="DK150" s="348">
        <f t="shared" ca="1" si="480"/>
        <v>43950</v>
      </c>
      <c r="DL150" s="332" t="str">
        <f t="shared" ca="1" si="421"/>
        <v>0</v>
      </c>
      <c r="DM150" s="335">
        <v>43559</v>
      </c>
      <c r="DN150" s="335">
        <f t="shared" ca="1" si="481"/>
        <v>43950</v>
      </c>
      <c r="DO150" s="332">
        <f t="shared" ref="DO150:DO181" ca="1" si="492">IF(AND(DM150&gt;0,DN150&gt;0),DN150-DM150,"0")</f>
        <v>391</v>
      </c>
      <c r="DP150" s="336"/>
      <c r="DQ150" s="336"/>
      <c r="DR150" s="332" t="str">
        <f t="shared" ref="DR150:DR181" si="493">IF(AND(DP150&gt;0,DQ150&gt;0),DQ150-DP150,"0")</f>
        <v>0</v>
      </c>
      <c r="DS150" s="335"/>
      <c r="DT150" s="335">
        <f t="shared" ca="1" si="482"/>
        <v>43950</v>
      </c>
      <c r="DU150" s="332" t="str">
        <f t="shared" ref="DU150:DU181" ca="1" si="494">IF(AND(DS150&gt;0,DT150&gt;0),DT150-DS150,"0")</f>
        <v>0</v>
      </c>
      <c r="DV150" s="335">
        <v>43636</v>
      </c>
      <c r="DW150" s="335">
        <f t="shared" ca="1" si="483"/>
        <v>43950</v>
      </c>
      <c r="DX150" s="332">
        <f t="shared" ref="DX150:DX181" ca="1" si="495">IF(AND(DV150&gt;0,DW150&gt;0),DW150-DV150,"0")</f>
        <v>314</v>
      </c>
      <c r="DY150" s="335"/>
      <c r="DZ150" s="335"/>
      <c r="EA150" s="335"/>
      <c r="EB150" s="477">
        <f t="shared" si="423"/>
        <v>46915</v>
      </c>
      <c r="EC150" s="476">
        <f t="shared" si="484"/>
        <v>47007</v>
      </c>
      <c r="ED150" s="473">
        <f t="shared" si="417"/>
        <v>3.0666666666666669</v>
      </c>
      <c r="EE150" s="605">
        <f t="shared" ca="1" si="465"/>
        <v>101.9</v>
      </c>
      <c r="EF150" s="476">
        <f t="shared" ca="1" si="466"/>
        <v>44680</v>
      </c>
      <c r="EG150" s="535"/>
      <c r="EH150" s="526"/>
      <c r="EI150" s="536">
        <f t="shared" si="485"/>
        <v>47131</v>
      </c>
      <c r="EJ150" s="295"/>
      <c r="EK150" s="534">
        <f t="shared" si="384"/>
        <v>46945</v>
      </c>
      <c r="EL150" s="476">
        <f t="shared" si="486"/>
        <v>47037</v>
      </c>
      <c r="EM150" s="368"/>
      <c r="EN150" s="471">
        <f t="shared" si="476"/>
        <v>3.0666666666666669</v>
      </c>
      <c r="EO150" s="461"/>
      <c r="EP150" s="173">
        <f t="shared" si="430"/>
        <v>0</v>
      </c>
      <c r="EQ150" s="77"/>
      <c r="ER150" s="353"/>
      <c r="ES150" s="353"/>
      <c r="ET150" s="353"/>
      <c r="EU150" s="353"/>
      <c r="EV150" s="482"/>
      <c r="EW150" s="483" t="e">
        <f t="shared" si="449"/>
        <v>#DIV/0!</v>
      </c>
      <c r="EX150" s="350"/>
      <c r="EY150" s="362"/>
      <c r="EZ150" s="355"/>
      <c r="FA150" s="355"/>
      <c r="FB150" s="126">
        <f t="shared" ca="1" si="385"/>
        <v>44680</v>
      </c>
      <c r="FC150" s="80"/>
      <c r="FD150" s="80"/>
      <c r="FE150" s="80"/>
      <c r="FF150" s="80"/>
      <c r="FG150" s="80"/>
      <c r="FH150" s="31"/>
      <c r="FI150" s="194">
        <f t="shared" si="424"/>
        <v>47372</v>
      </c>
      <c r="FJ150" s="194"/>
      <c r="FK150" s="31"/>
      <c r="FL150" s="31"/>
      <c r="FM150" s="31"/>
      <c r="FN150" s="31"/>
      <c r="FO150" s="31"/>
      <c r="FP150" s="31"/>
      <c r="FQ150" s="31"/>
      <c r="FR150" s="31"/>
      <c r="FS150" s="31"/>
      <c r="FT150" s="31"/>
      <c r="FU150" s="31"/>
      <c r="FV150" s="31"/>
      <c r="FW150" s="31"/>
      <c r="FX150" s="529"/>
      <c r="FY150" s="652">
        <f t="shared" si="418"/>
        <v>0</v>
      </c>
      <c r="FZ150" s="550">
        <f t="shared" si="471"/>
        <v>0</v>
      </c>
      <c r="GA150" s="45">
        <f t="shared" si="412"/>
        <v>0</v>
      </c>
      <c r="GB150" s="602">
        <f t="shared" si="487"/>
        <v>0</v>
      </c>
      <c r="GC150" s="28" t="e">
        <f t="shared" si="419"/>
        <v>#DIV/0!</v>
      </c>
      <c r="GD150" s="28" t="e">
        <f>#REF!/AD150</f>
        <v>#REF!</v>
      </c>
      <c r="GE150" s="45"/>
      <c r="GF150" s="417"/>
      <c r="GG150" s="28"/>
      <c r="GH150" s="45">
        <f t="shared" si="488"/>
        <v>0</v>
      </c>
      <c r="GI150" s="59"/>
      <c r="GJ150" s="59"/>
      <c r="GK150" s="408">
        <f t="shared" si="432"/>
        <v>0</v>
      </c>
      <c r="GL150" s="45"/>
      <c r="GM150" s="45"/>
      <c r="GN150" s="45"/>
      <c r="GO150" s="60" t="e">
        <f t="shared" si="420"/>
        <v>#DIV/0!</v>
      </c>
      <c r="GP150" s="45"/>
      <c r="GQ150" s="45"/>
      <c r="GR150" s="45"/>
      <c r="GS150" s="28">
        <f t="shared" si="450"/>
        <v>0</v>
      </c>
      <c r="GT150" s="28">
        <f t="shared" si="451"/>
        <v>0</v>
      </c>
      <c r="GU150" s="682"/>
      <c r="GV150" s="682"/>
      <c r="GW150" s="682" t="e">
        <f>(#REF!+#REF!+GV150)/AD150</f>
        <v>#REF!</v>
      </c>
      <c r="GX150" s="682"/>
      <c r="GY150" s="682">
        <f t="shared" si="452"/>
        <v>0</v>
      </c>
      <c r="GZ150" s="681" t="e">
        <f t="shared" si="472"/>
        <v>#DIV/0!</v>
      </c>
      <c r="HA150" s="682"/>
      <c r="HB150" s="682"/>
      <c r="HC150" s="45"/>
      <c r="HD150" s="602"/>
      <c r="HE150" s="608" t="e">
        <f t="shared" si="453"/>
        <v>#DIV/0!</v>
      </c>
      <c r="HF150" s="602">
        <f t="shared" si="454"/>
        <v>0</v>
      </c>
      <c r="HG150" s="602">
        <f t="shared" ca="1" si="489"/>
        <v>0</v>
      </c>
      <c r="HH150" s="608" t="e">
        <f t="shared" ca="1" si="490"/>
        <v>#DIV/0!</v>
      </c>
      <c r="HI150" s="602"/>
      <c r="HJ150" s="602">
        <f t="shared" si="474"/>
        <v>0</v>
      </c>
      <c r="HK150" s="602" t="e">
        <f t="shared" si="475"/>
        <v>#DIV/0!</v>
      </c>
      <c r="HL150" s="602"/>
      <c r="HM150" s="673"/>
      <c r="HN150" s="62"/>
      <c r="HO150" s="673"/>
      <c r="HP150" s="673">
        <f t="shared" si="456"/>
        <v>0</v>
      </c>
      <c r="HQ150" s="539"/>
      <c r="HR150" s="539"/>
      <c r="HS150" s="539"/>
      <c r="HT150" s="539"/>
      <c r="HU150" s="539"/>
      <c r="HV150" s="673"/>
      <c r="HW150" s="673">
        <f t="shared" si="477"/>
        <v>0</v>
      </c>
      <c r="HX150" s="539"/>
    </row>
    <row r="151" spans="1:232" ht="15" customHeight="1">
      <c r="A151" s="495" t="s">
        <v>441</v>
      </c>
      <c r="B151" s="31" t="s">
        <v>14</v>
      </c>
      <c r="C151" s="31" t="s">
        <v>90</v>
      </c>
      <c r="D151" s="31" t="s">
        <v>645</v>
      </c>
      <c r="E151" s="31"/>
      <c r="F151" s="31"/>
      <c r="G151" s="31"/>
      <c r="H151" s="33"/>
      <c r="I151" s="31"/>
      <c r="J151" s="31" t="s">
        <v>734</v>
      </c>
      <c r="K151" s="180" t="s">
        <v>644</v>
      </c>
      <c r="L151" s="114"/>
      <c r="M151" s="115"/>
      <c r="N151" s="116"/>
      <c r="O151" s="142"/>
      <c r="P151" s="142"/>
      <c r="Q151" s="142"/>
      <c r="R151" s="142">
        <f t="shared" si="425"/>
        <v>0</v>
      </c>
      <c r="S151" s="142"/>
      <c r="T151" s="148"/>
      <c r="U151" s="148"/>
      <c r="V151" s="148">
        <f t="shared" si="428"/>
        <v>0</v>
      </c>
      <c r="W151" s="142"/>
      <c r="X151" s="143"/>
      <c r="Y151" s="525" t="e">
        <f t="shared" si="434"/>
        <v>#DIV/0!</v>
      </c>
      <c r="Z151" s="143"/>
      <c r="AA151" s="143"/>
      <c r="AB151" s="144"/>
      <c r="AC151" s="31" t="s">
        <v>10</v>
      </c>
      <c r="AD151" s="493">
        <f t="shared" si="416"/>
        <v>60</v>
      </c>
      <c r="AE151" s="494">
        <f t="shared" si="435"/>
        <v>60</v>
      </c>
      <c r="AF151" s="42"/>
      <c r="AG151" s="31">
        <v>60</v>
      </c>
      <c r="AH151" s="42"/>
      <c r="AI151" s="42"/>
      <c r="AJ151" s="797"/>
      <c r="AK151" s="276"/>
      <c r="AL151" s="586">
        <f t="shared" si="436"/>
        <v>0</v>
      </c>
      <c r="AM151" s="8">
        <f t="shared" si="437"/>
        <v>0</v>
      </c>
      <c r="AN151" s="35"/>
      <c r="AO151" s="35"/>
      <c r="AP151" s="35"/>
      <c r="AQ151" s="53"/>
      <c r="AR151" s="53"/>
      <c r="AS151" s="53"/>
      <c r="AT151" s="53"/>
      <c r="AU151" s="53"/>
      <c r="AV151" s="35"/>
      <c r="AW151" s="51"/>
      <c r="AX151" s="53"/>
      <c r="AY151" s="35"/>
      <c r="AZ151" s="34"/>
      <c r="BA151" s="31"/>
      <c r="BB151" s="31"/>
      <c r="BC151" s="31"/>
      <c r="BD151" s="31"/>
      <c r="BE151" s="31"/>
      <c r="BF151" s="165"/>
      <c r="BG151" s="165"/>
      <c r="BH151" s="126"/>
      <c r="BI151" s="126"/>
      <c r="BJ151" s="660"/>
      <c r="BK151" s="660"/>
      <c r="BL151" s="661"/>
      <c r="BM151" s="659">
        <f t="shared" si="438"/>
        <v>0</v>
      </c>
      <c r="BN151" s="578" t="s">
        <v>235</v>
      </c>
      <c r="BO151" s="110"/>
      <c r="BP151" s="139"/>
      <c r="BQ151" s="654">
        <f t="shared" si="457"/>
        <v>0</v>
      </c>
      <c r="BR151" s="638"/>
      <c r="BS151" s="110"/>
      <c r="BT151" s="110"/>
      <c r="BU151" s="202"/>
      <c r="BV151" s="201">
        <f t="shared" si="439"/>
        <v>731</v>
      </c>
      <c r="BW151" s="439"/>
      <c r="BX151" s="201" t="str">
        <f t="shared" si="440"/>
        <v>oui</v>
      </c>
      <c r="BY151" s="557">
        <f t="shared" si="441"/>
        <v>-1544.6333333333334</v>
      </c>
      <c r="BZ151" s="439">
        <f t="shared" si="442"/>
        <v>0</v>
      </c>
      <c r="CA151" s="439">
        <f t="shared" si="443"/>
        <v>0</v>
      </c>
      <c r="CB151" s="339"/>
      <c r="CC151" s="341"/>
      <c r="CD151" s="341"/>
      <c r="CE151" s="343" t="str">
        <f t="shared" si="444"/>
        <v>0</v>
      </c>
      <c r="CF151" s="341"/>
      <c r="CG151" s="341"/>
      <c r="CH151" s="343" t="str">
        <f t="shared" si="445"/>
        <v>0</v>
      </c>
      <c r="CI151" s="341"/>
      <c r="CJ151" s="341"/>
      <c r="CK151" s="343" t="str">
        <f t="shared" si="446"/>
        <v>0</v>
      </c>
      <c r="CL151" s="341"/>
      <c r="CM151" s="341"/>
      <c r="CN151" s="343" t="str">
        <f t="shared" si="447"/>
        <v>0</v>
      </c>
      <c r="CO151" s="341"/>
      <c r="CP151" s="341"/>
      <c r="CQ151" s="343" t="str">
        <f t="shared" si="448"/>
        <v>0</v>
      </c>
      <c r="CR151" s="290"/>
      <c r="CS151" s="345"/>
      <c r="CT151" s="330"/>
      <c r="CU151" s="331"/>
      <c r="CV151" s="332"/>
      <c r="CW151" s="330"/>
      <c r="CX151" s="449">
        <v>45120</v>
      </c>
      <c r="CY151" s="233"/>
      <c r="CZ151" s="284">
        <f t="shared" si="415"/>
        <v>1504</v>
      </c>
      <c r="DA151" s="332" t="str">
        <f t="shared" si="397"/>
        <v>0</v>
      </c>
      <c r="DB151" s="450">
        <v>60</v>
      </c>
      <c r="DC151" s="169">
        <f t="shared" si="398"/>
        <v>63</v>
      </c>
      <c r="DD151" s="330"/>
      <c r="DE151" s="335">
        <f t="shared" ca="1" si="478"/>
        <v>43950</v>
      </c>
      <c r="DF151" s="332" t="str">
        <f t="shared" ca="1" si="411"/>
        <v>0</v>
      </c>
      <c r="DG151" s="330"/>
      <c r="DH151" s="348">
        <f t="shared" ca="1" si="479"/>
        <v>43950</v>
      </c>
      <c r="DI151" s="333" t="str">
        <f t="shared" ca="1" si="491"/>
        <v>0</v>
      </c>
      <c r="DJ151" s="334"/>
      <c r="DK151" s="348">
        <f t="shared" ca="1" si="480"/>
        <v>43950</v>
      </c>
      <c r="DL151" s="332" t="str">
        <f t="shared" ca="1" si="421"/>
        <v>0</v>
      </c>
      <c r="DM151" s="335">
        <v>43560</v>
      </c>
      <c r="DN151" s="335">
        <f t="shared" ca="1" si="481"/>
        <v>43950</v>
      </c>
      <c r="DO151" s="332">
        <f t="shared" ca="1" si="492"/>
        <v>390</v>
      </c>
      <c r="DP151" s="336"/>
      <c r="DQ151" s="336"/>
      <c r="DR151" s="332" t="str">
        <f t="shared" si="493"/>
        <v>0</v>
      </c>
      <c r="DS151" s="335"/>
      <c r="DT151" s="335">
        <f t="shared" ca="1" si="482"/>
        <v>43950</v>
      </c>
      <c r="DU151" s="332" t="str">
        <f t="shared" ca="1" si="494"/>
        <v>0</v>
      </c>
      <c r="DV151" s="335">
        <v>43637</v>
      </c>
      <c r="DW151" s="335">
        <f t="shared" ca="1" si="483"/>
        <v>43950</v>
      </c>
      <c r="DX151" s="332">
        <f t="shared" ca="1" si="495"/>
        <v>313</v>
      </c>
      <c r="DY151" s="335"/>
      <c r="DZ151" s="335"/>
      <c r="EA151" s="335"/>
      <c r="EB151" s="477">
        <f t="shared" si="423"/>
        <v>46947</v>
      </c>
      <c r="EC151" s="476">
        <f t="shared" si="484"/>
        <v>47039</v>
      </c>
      <c r="ED151" s="473">
        <f t="shared" si="417"/>
        <v>3.0666666666666669</v>
      </c>
      <c r="EE151" s="605">
        <f t="shared" ca="1" si="465"/>
        <v>102.96666666666667</v>
      </c>
      <c r="EF151" s="476">
        <f t="shared" ca="1" si="466"/>
        <v>44680</v>
      </c>
      <c r="EG151" s="535"/>
      <c r="EH151" s="526"/>
      <c r="EI151" s="536">
        <f t="shared" si="485"/>
        <v>47164</v>
      </c>
      <c r="EJ151" s="295"/>
      <c r="EK151" s="534">
        <f t="shared" si="384"/>
        <v>46978</v>
      </c>
      <c r="EL151" s="476">
        <f t="shared" si="486"/>
        <v>47070</v>
      </c>
      <c r="EM151" s="368"/>
      <c r="EN151" s="471">
        <f t="shared" si="476"/>
        <v>3.0666666666666669</v>
      </c>
      <c r="EO151" s="461"/>
      <c r="EP151" s="173">
        <f t="shared" si="430"/>
        <v>0</v>
      </c>
      <c r="EQ151" s="77"/>
      <c r="ER151" s="353"/>
      <c r="ES151" s="353"/>
      <c r="ET151" s="353"/>
      <c r="EU151" s="353"/>
      <c r="EV151" s="482"/>
      <c r="EW151" s="483" t="e">
        <f t="shared" si="449"/>
        <v>#DIV/0!</v>
      </c>
      <c r="EX151" s="350"/>
      <c r="EY151" s="362"/>
      <c r="EZ151" s="355"/>
      <c r="FA151" s="355"/>
      <c r="FB151" s="126">
        <f t="shared" ca="1" si="385"/>
        <v>44680</v>
      </c>
      <c r="FC151" s="80"/>
      <c r="FD151" s="80"/>
      <c r="FE151" s="80"/>
      <c r="FF151" s="80"/>
      <c r="FG151" s="80"/>
      <c r="FH151" s="31"/>
      <c r="FI151" s="194">
        <f t="shared" si="424"/>
        <v>47404</v>
      </c>
      <c r="FJ151" s="194"/>
      <c r="FK151" s="31"/>
      <c r="FL151" s="31"/>
      <c r="FM151" s="31"/>
      <c r="FN151" s="31"/>
      <c r="FO151" s="31"/>
      <c r="FP151" s="31"/>
      <c r="FQ151" s="31"/>
      <c r="FR151" s="31"/>
      <c r="FS151" s="31"/>
      <c r="FT151" s="31"/>
      <c r="FU151" s="31"/>
      <c r="FV151" s="31"/>
      <c r="FW151" s="31"/>
      <c r="FX151" s="529"/>
      <c r="FY151" s="652">
        <f t="shared" si="418"/>
        <v>0</v>
      </c>
      <c r="FZ151" s="550">
        <f t="shared" si="471"/>
        <v>0</v>
      </c>
      <c r="GA151" s="45">
        <f t="shared" si="412"/>
        <v>0</v>
      </c>
      <c r="GB151" s="602">
        <f t="shared" si="487"/>
        <v>0</v>
      </c>
      <c r="GC151" s="28" t="e">
        <f t="shared" si="419"/>
        <v>#DIV/0!</v>
      </c>
      <c r="GD151" s="28" t="e">
        <f>#REF!/AD151</f>
        <v>#REF!</v>
      </c>
      <c r="GE151" s="45"/>
      <c r="GF151" s="417"/>
      <c r="GG151" s="28"/>
      <c r="GH151" s="45">
        <f t="shared" si="488"/>
        <v>0</v>
      </c>
      <c r="GI151" s="59"/>
      <c r="GJ151" s="59"/>
      <c r="GK151" s="408">
        <f t="shared" si="432"/>
        <v>0</v>
      </c>
      <c r="GL151" s="45"/>
      <c r="GM151" s="45"/>
      <c r="GN151" s="45"/>
      <c r="GO151" s="60" t="e">
        <f t="shared" si="420"/>
        <v>#DIV/0!</v>
      </c>
      <c r="GP151" s="45"/>
      <c r="GQ151" s="45"/>
      <c r="GR151" s="45"/>
      <c r="GS151" s="28">
        <f t="shared" si="450"/>
        <v>0</v>
      </c>
      <c r="GT151" s="28">
        <f t="shared" si="451"/>
        <v>0</v>
      </c>
      <c r="GU151" s="682"/>
      <c r="GV151" s="682"/>
      <c r="GW151" s="682" t="e">
        <f>(#REF!+#REF!+GV151)/AD151</f>
        <v>#REF!</v>
      </c>
      <c r="GX151" s="682"/>
      <c r="GY151" s="682">
        <f t="shared" si="452"/>
        <v>0</v>
      </c>
      <c r="GZ151" s="681" t="e">
        <f t="shared" si="472"/>
        <v>#DIV/0!</v>
      </c>
      <c r="HA151" s="682"/>
      <c r="HB151" s="682"/>
      <c r="HC151" s="45"/>
      <c r="HD151" s="602"/>
      <c r="HE151" s="608" t="e">
        <f t="shared" si="453"/>
        <v>#DIV/0!</v>
      </c>
      <c r="HF151" s="602">
        <f t="shared" si="454"/>
        <v>0</v>
      </c>
      <c r="HG151" s="602">
        <f t="shared" ca="1" si="489"/>
        <v>0</v>
      </c>
      <c r="HH151" s="608" t="e">
        <f t="shared" ca="1" si="490"/>
        <v>#DIV/0!</v>
      </c>
      <c r="HI151" s="602"/>
      <c r="HJ151" s="602">
        <f t="shared" si="474"/>
        <v>0</v>
      </c>
      <c r="HK151" s="602" t="e">
        <f t="shared" si="475"/>
        <v>#DIV/0!</v>
      </c>
      <c r="HL151" s="602"/>
      <c r="HM151" s="673"/>
      <c r="HN151" s="62"/>
      <c r="HO151" s="673"/>
      <c r="HP151" s="673">
        <f t="shared" si="456"/>
        <v>0</v>
      </c>
      <c r="HQ151" s="539"/>
      <c r="HR151" s="539"/>
      <c r="HS151" s="539"/>
      <c r="HT151" s="539"/>
      <c r="HU151" s="539"/>
      <c r="HV151" s="673"/>
      <c r="HW151" s="673">
        <f t="shared" si="477"/>
        <v>0</v>
      </c>
      <c r="HX151" s="539"/>
    </row>
    <row r="152" spans="1:232" ht="15" customHeight="1">
      <c r="A152" s="495" t="s">
        <v>633</v>
      </c>
      <c r="B152" s="31" t="s">
        <v>14</v>
      </c>
      <c r="C152" s="31" t="s">
        <v>90</v>
      </c>
      <c r="D152" s="31" t="s">
        <v>645</v>
      </c>
      <c r="E152" s="31"/>
      <c r="F152" s="31"/>
      <c r="G152" s="31"/>
      <c r="H152" s="33"/>
      <c r="I152" s="31"/>
      <c r="J152" s="31" t="s">
        <v>737</v>
      </c>
      <c r="K152" s="180" t="s">
        <v>632</v>
      </c>
      <c r="L152" s="114"/>
      <c r="M152" s="115"/>
      <c r="N152" s="116"/>
      <c r="O152" s="142">
        <v>4000</v>
      </c>
      <c r="P152" s="142"/>
      <c r="Q152" s="142"/>
      <c r="R152" s="142">
        <f t="shared" si="425"/>
        <v>0</v>
      </c>
      <c r="S152" s="142">
        <f>P152/O152</f>
        <v>0</v>
      </c>
      <c r="T152" s="148">
        <f>Q152/O152</f>
        <v>0</v>
      </c>
      <c r="U152" s="148" t="e">
        <f>Q152/AK152</f>
        <v>#DIV/0!</v>
      </c>
      <c r="V152" s="148">
        <f t="shared" si="428"/>
        <v>0</v>
      </c>
      <c r="W152" s="142">
        <f>O152/AD152</f>
        <v>266.66666666666669</v>
      </c>
      <c r="X152" s="143"/>
      <c r="Y152" s="525">
        <f t="shared" si="434"/>
        <v>37.5</v>
      </c>
      <c r="Z152" s="143" t="s">
        <v>619</v>
      </c>
      <c r="AA152" s="143"/>
      <c r="AB152" s="144"/>
      <c r="AC152" s="31" t="s">
        <v>10</v>
      </c>
      <c r="AD152" s="493">
        <f t="shared" si="416"/>
        <v>15</v>
      </c>
      <c r="AE152" s="494">
        <f t="shared" si="435"/>
        <v>15</v>
      </c>
      <c r="AF152" s="42"/>
      <c r="AG152" s="31">
        <v>15</v>
      </c>
      <c r="AH152" s="42"/>
      <c r="AI152" s="42"/>
      <c r="AJ152" s="797"/>
      <c r="AK152" s="276"/>
      <c r="AL152" s="586">
        <f t="shared" si="436"/>
        <v>0</v>
      </c>
      <c r="AM152" s="8">
        <f t="shared" si="437"/>
        <v>0</v>
      </c>
      <c r="AN152" s="35"/>
      <c r="AO152" s="35"/>
      <c r="AP152" s="35"/>
      <c r="AQ152" s="53"/>
      <c r="AR152" s="53"/>
      <c r="AS152" s="53"/>
      <c r="AT152" s="53"/>
      <c r="AU152" s="53"/>
      <c r="AV152" s="35"/>
      <c r="AW152" s="51"/>
      <c r="AX152" s="53"/>
      <c r="AY152" s="35"/>
      <c r="AZ152" s="34"/>
      <c r="BA152" s="31"/>
      <c r="BB152" s="31"/>
      <c r="BC152" s="31"/>
      <c r="BD152" s="31"/>
      <c r="BE152" s="31"/>
      <c r="BF152" s="165"/>
      <c r="BG152" s="165"/>
      <c r="BH152" s="126"/>
      <c r="BI152" s="126"/>
      <c r="BJ152" s="660"/>
      <c r="BK152" s="660"/>
      <c r="BL152" s="661"/>
      <c r="BM152" s="659">
        <f t="shared" si="438"/>
        <v>0</v>
      </c>
      <c r="BN152" s="578" t="s">
        <v>235</v>
      </c>
      <c r="BO152" s="110"/>
      <c r="BP152" s="139"/>
      <c r="BQ152" s="654">
        <f t="shared" si="457"/>
        <v>0</v>
      </c>
      <c r="BR152" s="638"/>
      <c r="BS152" s="110"/>
      <c r="BT152" s="110"/>
      <c r="BU152" s="202"/>
      <c r="BV152" s="201">
        <f t="shared" si="439"/>
        <v>731</v>
      </c>
      <c r="BW152" s="439"/>
      <c r="BX152" s="201" t="str">
        <f t="shared" si="440"/>
        <v>oui</v>
      </c>
      <c r="BY152" s="557">
        <f t="shared" si="441"/>
        <v>-1546.5</v>
      </c>
      <c r="BZ152" s="439">
        <f t="shared" si="442"/>
        <v>0</v>
      </c>
      <c r="CA152" s="439">
        <f t="shared" si="443"/>
        <v>0</v>
      </c>
      <c r="CB152" s="339"/>
      <c r="CC152" s="341"/>
      <c r="CD152" s="341"/>
      <c r="CE152" s="343" t="str">
        <f t="shared" si="444"/>
        <v>0</v>
      </c>
      <c r="CF152" s="341"/>
      <c r="CG152" s="341"/>
      <c r="CH152" s="343" t="str">
        <f t="shared" si="445"/>
        <v>0</v>
      </c>
      <c r="CI152" s="341"/>
      <c r="CJ152" s="341"/>
      <c r="CK152" s="343" t="str">
        <f t="shared" si="446"/>
        <v>0</v>
      </c>
      <c r="CL152" s="341"/>
      <c r="CM152" s="341"/>
      <c r="CN152" s="343" t="str">
        <f t="shared" si="447"/>
        <v>0</v>
      </c>
      <c r="CO152" s="341"/>
      <c r="CP152" s="341"/>
      <c r="CQ152" s="343" t="str">
        <f t="shared" si="448"/>
        <v>0</v>
      </c>
      <c r="CR152" s="290"/>
      <c r="CS152" s="345"/>
      <c r="CT152" s="330"/>
      <c r="CU152" s="331"/>
      <c r="CV152" s="332"/>
      <c r="CW152" s="330"/>
      <c r="CX152" s="449">
        <v>45115</v>
      </c>
      <c r="CY152" s="233"/>
      <c r="CZ152" s="284">
        <f t="shared" si="415"/>
        <v>1503.8333333333333</v>
      </c>
      <c r="DA152" s="332" t="str">
        <f t="shared" si="397"/>
        <v>0</v>
      </c>
      <c r="DB152" s="450">
        <v>62</v>
      </c>
      <c r="DC152" s="169">
        <f t="shared" si="398"/>
        <v>65</v>
      </c>
      <c r="DD152" s="330"/>
      <c r="DE152" s="335">
        <f t="shared" ca="1" si="478"/>
        <v>43950</v>
      </c>
      <c r="DF152" s="332" t="str">
        <f t="shared" ref="DF152:DF183" ca="1" si="496">IF(AND(DD152&gt;0,DE152&gt;0),DE152-DD152,"0")</f>
        <v>0</v>
      </c>
      <c r="DG152" s="330"/>
      <c r="DH152" s="348">
        <f t="shared" ca="1" si="479"/>
        <v>43950</v>
      </c>
      <c r="DI152" s="333" t="str">
        <f t="shared" ca="1" si="491"/>
        <v>0</v>
      </c>
      <c r="DJ152" s="334"/>
      <c r="DK152" s="348">
        <f t="shared" ca="1" si="480"/>
        <v>43950</v>
      </c>
      <c r="DL152" s="332" t="str">
        <f t="shared" ca="1" si="421"/>
        <v>0</v>
      </c>
      <c r="DM152" s="335">
        <v>43562</v>
      </c>
      <c r="DN152" s="335">
        <f t="shared" ca="1" si="481"/>
        <v>43950</v>
      </c>
      <c r="DO152" s="332">
        <f t="shared" ca="1" si="492"/>
        <v>388</v>
      </c>
      <c r="DP152" s="336"/>
      <c r="DQ152" s="336"/>
      <c r="DR152" s="332" t="str">
        <f t="shared" si="493"/>
        <v>0</v>
      </c>
      <c r="DS152" s="335"/>
      <c r="DT152" s="335">
        <f t="shared" ca="1" si="482"/>
        <v>43950</v>
      </c>
      <c r="DU152" s="332" t="str">
        <f t="shared" ca="1" si="494"/>
        <v>0</v>
      </c>
      <c r="DV152" s="335">
        <v>43639</v>
      </c>
      <c r="DW152" s="335">
        <f t="shared" ca="1" si="483"/>
        <v>43950</v>
      </c>
      <c r="DX152" s="332">
        <f t="shared" ca="1" si="495"/>
        <v>311</v>
      </c>
      <c r="DY152" s="335"/>
      <c r="DZ152" s="335"/>
      <c r="EA152" s="335"/>
      <c r="EB152" s="477">
        <f t="shared" si="423"/>
        <v>47004</v>
      </c>
      <c r="EC152" s="476">
        <f t="shared" si="484"/>
        <v>47095</v>
      </c>
      <c r="ED152" s="473">
        <f t="shared" si="417"/>
        <v>3.0333333333333332</v>
      </c>
      <c r="EE152" s="605">
        <f t="shared" ca="1" si="465"/>
        <v>104.83333333333333</v>
      </c>
      <c r="EF152" s="476">
        <f t="shared" ca="1" si="466"/>
        <v>44680</v>
      </c>
      <c r="EG152" s="535"/>
      <c r="EH152" s="526"/>
      <c r="EI152" s="536">
        <f t="shared" si="485"/>
        <v>47218</v>
      </c>
      <c r="EJ152" s="295"/>
      <c r="EK152" s="534">
        <f t="shared" si="384"/>
        <v>47034</v>
      </c>
      <c r="EL152" s="476">
        <f t="shared" si="486"/>
        <v>47126</v>
      </c>
      <c r="EM152" s="368"/>
      <c r="EN152" s="471">
        <f t="shared" si="476"/>
        <v>3.0666666666666669</v>
      </c>
      <c r="EO152" s="461"/>
      <c r="EP152" s="173">
        <f t="shared" si="430"/>
        <v>0</v>
      </c>
      <c r="EQ152" s="77"/>
      <c r="ER152" s="353"/>
      <c r="ES152" s="353"/>
      <c r="ET152" s="353"/>
      <c r="EU152" s="353"/>
      <c r="EV152" s="353"/>
      <c r="EW152" s="483" t="e">
        <f t="shared" si="449"/>
        <v>#DIV/0!</v>
      </c>
      <c r="EX152" s="350"/>
      <c r="EY152" s="362"/>
      <c r="EZ152" s="350"/>
      <c r="FA152" s="350"/>
      <c r="FB152" s="126">
        <f t="shared" ca="1" si="385"/>
        <v>44680</v>
      </c>
      <c r="FC152" s="80"/>
      <c r="FD152" s="80"/>
      <c r="FE152" s="80"/>
      <c r="FF152" s="80"/>
      <c r="FG152" s="80"/>
      <c r="FH152" s="31"/>
      <c r="FI152" s="194">
        <f t="shared" si="424"/>
        <v>47460</v>
      </c>
      <c r="FJ152" s="194"/>
      <c r="FK152" s="31"/>
      <c r="FL152" s="31"/>
      <c r="FM152" s="31"/>
      <c r="FN152" s="31"/>
      <c r="FO152" s="31"/>
      <c r="FP152" s="31"/>
      <c r="FQ152" s="31"/>
      <c r="FR152" s="31"/>
      <c r="FS152" s="31"/>
      <c r="FT152" s="31"/>
      <c r="FU152" s="31"/>
      <c r="FV152" s="31"/>
      <c r="FW152" s="31"/>
      <c r="FX152" s="529"/>
      <c r="FY152" s="652">
        <f t="shared" si="418"/>
        <v>0</v>
      </c>
      <c r="FZ152" s="550">
        <f t="shared" si="471"/>
        <v>0</v>
      </c>
      <c r="GA152" s="45">
        <f t="shared" ref="GA152:GA183" si="497">FZ152</f>
        <v>0</v>
      </c>
      <c r="GB152" s="602">
        <f t="shared" si="487"/>
        <v>0</v>
      </c>
      <c r="GC152" s="28" t="e">
        <f t="shared" si="419"/>
        <v>#DIV/0!</v>
      </c>
      <c r="GD152" s="28" t="e">
        <f>#REF!/AD152</f>
        <v>#REF!</v>
      </c>
      <c r="GE152" s="45"/>
      <c r="GF152" s="417"/>
      <c r="GG152" s="28"/>
      <c r="GH152" s="45">
        <f t="shared" si="488"/>
        <v>0</v>
      </c>
      <c r="GI152" s="59"/>
      <c r="GJ152" s="59"/>
      <c r="GK152" s="408">
        <f t="shared" si="432"/>
        <v>0</v>
      </c>
      <c r="GL152" s="45"/>
      <c r="GM152" s="45"/>
      <c r="GN152" s="45"/>
      <c r="GO152" s="60" t="e">
        <f t="shared" si="420"/>
        <v>#DIV/0!</v>
      </c>
      <c r="GP152" s="45"/>
      <c r="GQ152" s="45"/>
      <c r="GR152" s="45"/>
      <c r="GS152" s="28">
        <f t="shared" si="450"/>
        <v>0</v>
      </c>
      <c r="GT152" s="28">
        <f t="shared" si="451"/>
        <v>0</v>
      </c>
      <c r="GU152" s="682"/>
      <c r="GV152" s="682"/>
      <c r="GW152" s="682" t="e">
        <f>(#REF!+#REF!+GV152)/AD152</f>
        <v>#REF!</v>
      </c>
      <c r="GX152" s="682"/>
      <c r="GY152" s="682">
        <f t="shared" si="452"/>
        <v>0</v>
      </c>
      <c r="GZ152" s="681" t="e">
        <f t="shared" si="472"/>
        <v>#DIV/0!</v>
      </c>
      <c r="HA152" s="682"/>
      <c r="HB152" s="682"/>
      <c r="HC152" s="45"/>
      <c r="HD152" s="602"/>
      <c r="HE152" s="608" t="e">
        <f t="shared" si="453"/>
        <v>#DIV/0!</v>
      </c>
      <c r="HF152" s="602">
        <f t="shared" si="454"/>
        <v>0</v>
      </c>
      <c r="HG152" s="602">
        <f t="shared" ca="1" si="489"/>
        <v>0</v>
      </c>
      <c r="HH152" s="608" t="e">
        <f t="shared" ca="1" si="490"/>
        <v>#DIV/0!</v>
      </c>
      <c r="HI152" s="602"/>
      <c r="HJ152" s="602">
        <f t="shared" si="474"/>
        <v>0</v>
      </c>
      <c r="HK152" s="602" t="e">
        <f t="shared" si="475"/>
        <v>#DIV/0!</v>
      </c>
      <c r="HL152" s="602"/>
      <c r="HM152" s="673"/>
      <c r="HN152" s="62"/>
      <c r="HO152" s="673"/>
      <c r="HP152" s="673">
        <f t="shared" si="456"/>
        <v>0</v>
      </c>
      <c r="HQ152" s="539"/>
      <c r="HR152" s="539"/>
      <c r="HS152" s="539"/>
      <c r="HT152" s="539"/>
      <c r="HU152" s="539"/>
      <c r="HV152" s="673"/>
      <c r="HW152" s="673">
        <f t="shared" si="477"/>
        <v>0</v>
      </c>
      <c r="HX152" s="539"/>
    </row>
    <row r="153" spans="1:232" ht="15" customHeight="1">
      <c r="A153" s="58"/>
      <c r="B153" s="190"/>
      <c r="C153" s="190"/>
      <c r="D153" s="190"/>
      <c r="E153" s="190"/>
      <c r="F153" s="190"/>
      <c r="G153" s="190"/>
      <c r="H153" s="190"/>
      <c r="I153" s="190"/>
      <c r="J153" s="190"/>
      <c r="K153" s="30"/>
      <c r="L153" s="704"/>
      <c r="M153" s="704"/>
      <c r="N153" s="704"/>
      <c r="O153" s="190"/>
      <c r="P153" s="190"/>
      <c r="Q153" s="190"/>
      <c r="R153" s="190"/>
      <c r="S153" s="190"/>
      <c r="T153" s="190"/>
      <c r="U153" s="190"/>
      <c r="V153" s="190"/>
      <c r="W153" s="190"/>
      <c r="X153" s="190"/>
      <c r="Y153" s="190"/>
      <c r="Z153" s="190"/>
      <c r="AA153" s="190"/>
      <c r="AB153" s="190"/>
      <c r="AC153" s="190"/>
      <c r="AD153" s="705"/>
      <c r="AE153" s="705"/>
      <c r="AF153" s="190"/>
      <c r="AG153" s="190"/>
      <c r="AH153" s="190"/>
      <c r="AI153" s="190"/>
      <c r="AJ153" s="797"/>
      <c r="AK153" s="709"/>
      <c r="AL153" s="706"/>
      <c r="AM153" s="705"/>
      <c r="AN153" s="190"/>
      <c r="AO153" s="190"/>
      <c r="AP153" s="190"/>
      <c r="AQ153" s="190"/>
      <c r="AR153" s="190"/>
      <c r="AS153" s="190"/>
      <c r="AT153" s="190"/>
      <c r="AU153" s="190"/>
      <c r="AV153" s="190"/>
      <c r="AW153" s="707"/>
      <c r="AX153" s="708"/>
      <c r="AY153" s="190"/>
      <c r="AZ153" s="34"/>
      <c r="BA153" s="31"/>
      <c r="BB153" s="190"/>
      <c r="BC153" s="190"/>
      <c r="BD153" s="190"/>
      <c r="BE153" s="190"/>
      <c r="BF153" s="190"/>
      <c r="BG153" s="190"/>
      <c r="BH153" s="190"/>
      <c r="BI153" s="190"/>
      <c r="BJ153" s="709"/>
      <c r="BK153" s="709"/>
      <c r="BL153" s="709"/>
      <c r="BM153" s="709"/>
      <c r="BN153" s="709"/>
      <c r="BO153" s="709"/>
      <c r="BP153" s="709"/>
      <c r="BQ153" s="709"/>
      <c r="BR153" s="710"/>
      <c r="BS153" s="709"/>
      <c r="BT153" s="709"/>
      <c r="BU153" s="709"/>
      <c r="BV153" s="709"/>
      <c r="BW153" s="709"/>
      <c r="BX153" s="709"/>
      <c r="BY153" s="709"/>
      <c r="BZ153" s="709"/>
      <c r="CA153" s="709"/>
      <c r="CB153" s="190"/>
      <c r="CC153" s="191"/>
      <c r="CD153" s="191"/>
      <c r="CE153" s="711"/>
      <c r="CF153" s="190"/>
      <c r="CG153" s="191"/>
      <c r="CH153" s="190"/>
      <c r="CI153" s="191"/>
      <c r="CJ153" s="190"/>
      <c r="CK153" s="190"/>
      <c r="CL153" s="190"/>
      <c r="CM153" s="190"/>
      <c r="CN153" s="190"/>
      <c r="CO153" s="191"/>
      <c r="CP153" s="191"/>
      <c r="CQ153" s="190"/>
      <c r="CR153" s="190"/>
      <c r="CS153" s="191"/>
      <c r="CT153" s="191"/>
      <c r="CU153" s="191"/>
      <c r="CV153" s="190"/>
      <c r="CW153" s="191"/>
      <c r="CX153" s="716"/>
      <c r="CY153" s="712"/>
      <c r="CZ153" s="712"/>
      <c r="DA153" s="190"/>
      <c r="DB153" s="713"/>
      <c r="DC153" s="190"/>
      <c r="DD153" s="191"/>
      <c r="DE153" s="191"/>
      <c r="DF153" s="711"/>
      <c r="DG153" s="191"/>
      <c r="DH153" s="714"/>
      <c r="DI153" s="190"/>
      <c r="DJ153" s="191"/>
      <c r="DK153" s="714"/>
      <c r="DL153" s="190"/>
      <c r="DM153" s="191"/>
      <c r="DN153" s="191"/>
      <c r="DO153" s="190"/>
      <c r="DP153" s="191"/>
      <c r="DQ153" s="191"/>
      <c r="DR153" s="190"/>
      <c r="DS153" s="191"/>
      <c r="DT153" s="191"/>
      <c r="DU153" s="190"/>
      <c r="DV153" s="715"/>
      <c r="DW153" s="715"/>
      <c r="DX153" s="63"/>
      <c r="DY153" s="715"/>
      <c r="DZ153" s="715"/>
      <c r="EA153" s="715"/>
      <c r="EB153" s="720"/>
      <c r="EC153" s="716"/>
      <c r="ED153" s="717"/>
      <c r="EE153" s="718"/>
      <c r="EF153" s="716"/>
      <c r="EG153" s="719"/>
      <c r="EH153" s="190"/>
      <c r="EI153" s="712"/>
      <c r="EJ153" s="720"/>
      <c r="EK153" s="721"/>
      <c r="EL153" s="716"/>
      <c r="EM153" s="724"/>
      <c r="EN153" s="717"/>
      <c r="EO153" s="712"/>
      <c r="EP153" s="190"/>
      <c r="EQ153" s="190"/>
      <c r="ER153" s="698"/>
      <c r="ES153" s="698"/>
      <c r="ET153" s="698"/>
      <c r="EU153" s="698"/>
      <c r="EV153" s="698"/>
      <c r="EW153" s="698"/>
      <c r="EX153" s="63"/>
      <c r="EY153" s="63"/>
      <c r="EZ153" s="725"/>
      <c r="FA153" s="63"/>
      <c r="FB153" s="63"/>
      <c r="FC153" s="190"/>
      <c r="FD153" s="190"/>
      <c r="FE153" s="190"/>
      <c r="FF153" s="190"/>
      <c r="FG153" s="190"/>
      <c r="FH153" s="190"/>
      <c r="FI153" s="190"/>
      <c r="FJ153" s="190"/>
      <c r="FK153" s="190"/>
      <c r="FL153" s="190"/>
      <c r="FM153" s="190"/>
      <c r="FN153" s="190"/>
      <c r="FO153" s="190"/>
      <c r="FP153" s="190"/>
      <c r="FQ153" s="190"/>
      <c r="FR153" s="190"/>
      <c r="FS153" s="190"/>
      <c r="FT153" s="190"/>
      <c r="FU153" s="190"/>
      <c r="FV153" s="190"/>
      <c r="FW153" s="190"/>
      <c r="FX153" s="722"/>
      <c r="FY153" s="722"/>
      <c r="FZ153" s="723"/>
      <c r="GA153" s="190"/>
      <c r="GB153" s="711"/>
      <c r="GC153" s="190"/>
      <c r="GD153" s="190"/>
      <c r="GE153" s="190"/>
      <c r="GF153" s="716"/>
      <c r="GG153" s="190"/>
      <c r="GH153" s="190"/>
      <c r="GI153" s="190"/>
      <c r="GJ153" s="190"/>
      <c r="GK153" s="726"/>
      <c r="GL153" s="190"/>
      <c r="GM153" s="31"/>
      <c r="GN153" s="31"/>
      <c r="GO153" s="31"/>
      <c r="GP153" s="31"/>
      <c r="GQ153" s="31"/>
      <c r="GR153" s="31"/>
      <c r="GS153" s="31"/>
      <c r="GT153" s="31"/>
      <c r="GU153" s="190"/>
      <c r="GV153" s="190"/>
      <c r="GW153" s="190"/>
      <c r="GX153" s="190"/>
      <c r="GY153" s="190"/>
      <c r="GZ153" s="190"/>
      <c r="HA153" s="190"/>
      <c r="HB153" s="190"/>
      <c r="HC153" s="190"/>
      <c r="HD153" s="711"/>
      <c r="HE153" s="190"/>
      <c r="HF153" s="190"/>
      <c r="HG153" s="190"/>
      <c r="HH153" s="190"/>
      <c r="HI153" s="190"/>
      <c r="HJ153" s="190"/>
      <c r="HK153" s="190"/>
      <c r="HL153" s="190"/>
      <c r="HM153" s="190"/>
      <c r="HN153" s="190"/>
      <c r="HO153" s="190"/>
      <c r="HP153" s="190"/>
      <c r="HQ153" s="31"/>
      <c r="HR153" s="31"/>
      <c r="HS153" s="31"/>
      <c r="HT153" s="31"/>
      <c r="HU153" s="31"/>
      <c r="HV153" s="190"/>
      <c r="HW153" s="673">
        <f t="shared" si="477"/>
        <v>0</v>
      </c>
      <c r="HX153" s="539"/>
    </row>
    <row r="154" spans="1:232" s="5" customFormat="1" ht="18" customHeight="1">
      <c r="A154" s="782"/>
      <c r="B154" s="86"/>
      <c r="C154" s="86"/>
      <c r="D154" s="86"/>
      <c r="E154" s="86"/>
      <c r="F154" s="86"/>
      <c r="G154" s="86"/>
      <c r="H154" s="86"/>
      <c r="I154" s="86"/>
      <c r="J154" s="86"/>
      <c r="K154" s="208"/>
      <c r="L154" s="133"/>
      <c r="M154" s="133"/>
      <c r="N154" s="133"/>
      <c r="O154" s="86"/>
      <c r="P154" s="86"/>
      <c r="Q154" s="86"/>
      <c r="R154" s="86"/>
      <c r="S154" s="86"/>
      <c r="T154" s="87"/>
      <c r="U154" s="86"/>
      <c r="V154" s="39"/>
      <c r="W154" s="86"/>
      <c r="X154" s="86"/>
      <c r="Y154" s="86"/>
      <c r="Z154" s="86"/>
      <c r="AA154" s="86"/>
      <c r="AB154" s="86"/>
      <c r="AC154" s="86"/>
      <c r="AD154" s="91"/>
      <c r="AE154" s="91"/>
      <c r="AF154" s="14">
        <f>SUM(AF67:AF153)</f>
        <v>669</v>
      </c>
      <c r="AG154" s="14">
        <f>SUM(AG67:AG153)</f>
        <v>1657</v>
      </c>
      <c r="AH154" s="14">
        <f>SUM(AH67:AH153)</f>
        <v>437</v>
      </c>
      <c r="AI154" s="14">
        <f>SUM(AI67:AI153)</f>
        <v>693</v>
      </c>
      <c r="AJ154" s="507"/>
      <c r="AK154" s="580"/>
      <c r="AL154" s="580"/>
      <c r="AM154" s="86"/>
      <c r="AN154" s="86"/>
      <c r="AO154" s="86"/>
      <c r="AP154" s="86"/>
      <c r="AQ154" s="86"/>
      <c r="AR154" s="86"/>
      <c r="AS154" s="86"/>
      <c r="AT154" s="86"/>
      <c r="AU154" s="86"/>
      <c r="AV154" s="86"/>
      <c r="AW154" s="88"/>
      <c r="AX154" s="55"/>
      <c r="AY154" s="86"/>
      <c r="AZ154" s="86"/>
      <c r="BA154" s="86"/>
      <c r="BB154" s="86"/>
      <c r="BC154" s="86"/>
      <c r="BD154" s="86"/>
      <c r="BE154" s="86"/>
      <c r="BF154" s="86"/>
      <c r="BG154" s="86"/>
      <c r="BH154" s="86"/>
      <c r="BI154" s="86"/>
      <c r="BJ154" s="2"/>
      <c r="BK154" s="2"/>
      <c r="BL154" s="2"/>
      <c r="BM154" s="2"/>
      <c r="BN154" s="2"/>
      <c r="BO154" s="117"/>
      <c r="BP154" s="117"/>
      <c r="BQ154" s="117"/>
      <c r="BR154" s="641"/>
      <c r="BS154" s="117"/>
      <c r="BT154" s="117"/>
      <c r="BU154" s="117"/>
      <c r="BV154" s="117"/>
      <c r="BW154" s="117"/>
      <c r="BX154" s="117"/>
      <c r="BY154" s="117"/>
      <c r="BZ154" s="117"/>
      <c r="CA154" s="117"/>
      <c r="CB154" s="91"/>
      <c r="CC154" s="91"/>
      <c r="CD154" s="91"/>
      <c r="CE154" s="91"/>
      <c r="CF154" s="91"/>
      <c r="CG154" s="668"/>
      <c r="CH154" s="91"/>
      <c r="CI154" s="91"/>
      <c r="CJ154" s="91"/>
      <c r="CK154" s="91"/>
      <c r="CL154" s="91"/>
      <c r="CM154" s="91"/>
      <c r="CN154" s="91"/>
      <c r="CO154" s="91"/>
      <c r="CP154" s="91"/>
      <c r="CQ154" s="91"/>
      <c r="CR154" s="86"/>
      <c r="CS154" s="91"/>
      <c r="CT154" s="91"/>
      <c r="CU154" s="91"/>
      <c r="CV154" s="91"/>
      <c r="CW154" s="91"/>
      <c r="CX154" s="86"/>
      <c r="CY154" s="86"/>
      <c r="CZ154" s="86"/>
      <c r="DA154" s="91"/>
      <c r="DB154" s="154"/>
      <c r="DC154" s="86"/>
      <c r="DD154" s="91"/>
      <c r="DE154" s="91"/>
      <c r="DF154" s="91"/>
      <c r="DG154" s="90"/>
      <c r="DH154" s="90"/>
      <c r="DI154" s="90"/>
      <c r="DJ154" s="90"/>
      <c r="DK154" s="90"/>
      <c r="DL154" s="91"/>
      <c r="DM154" s="91"/>
      <c r="DN154" s="91"/>
      <c r="DO154" s="91"/>
      <c r="DP154" s="91"/>
      <c r="DQ154" s="91"/>
      <c r="DR154" s="91"/>
      <c r="DS154" s="91"/>
      <c r="DT154" s="90"/>
      <c r="DU154" s="90"/>
      <c r="DV154" s="90"/>
      <c r="DW154" s="90"/>
      <c r="DX154" s="90"/>
      <c r="DY154" s="90"/>
      <c r="DZ154" s="90"/>
      <c r="EA154" s="90"/>
      <c r="EB154" s="86"/>
      <c r="EC154" s="86"/>
      <c r="ED154" s="86"/>
      <c r="EE154" s="86"/>
      <c r="EF154" s="86"/>
      <c r="EG154" s="86"/>
      <c r="EH154" s="86"/>
      <c r="EI154" s="86"/>
      <c r="EJ154" s="86"/>
      <c r="EK154" s="86"/>
      <c r="EL154" s="86"/>
      <c r="EM154" s="225"/>
      <c r="EN154" s="86"/>
      <c r="EO154" s="86"/>
      <c r="EP154" s="86"/>
      <c r="EQ154" s="86"/>
      <c r="ER154" s="669"/>
      <c r="ES154" s="669"/>
      <c r="ET154" s="669"/>
      <c r="EU154" s="669"/>
      <c r="EV154" s="669"/>
      <c r="EW154" s="669"/>
      <c r="EX154" s="91"/>
      <c r="EY154" s="134"/>
      <c r="EZ154" s="91"/>
      <c r="FA154" s="91"/>
      <c r="FB154" s="91"/>
      <c r="FC154" s="86"/>
      <c r="FD154" s="86"/>
      <c r="FE154" s="86"/>
      <c r="FF154" s="86"/>
      <c r="FG154" s="86"/>
      <c r="FH154" s="86"/>
      <c r="FI154" s="86"/>
      <c r="FJ154" s="86"/>
      <c r="FK154" s="86"/>
      <c r="FL154" s="86"/>
      <c r="FM154" s="86"/>
      <c r="FN154" s="86"/>
      <c r="FO154" s="86"/>
      <c r="FP154" s="86"/>
      <c r="FQ154" s="86"/>
      <c r="FR154" s="86"/>
      <c r="FS154" s="86"/>
      <c r="FT154" s="86"/>
      <c r="FU154" s="86"/>
      <c r="FV154" s="86"/>
      <c r="FW154" s="86"/>
      <c r="FX154" s="118"/>
      <c r="FY154" s="118"/>
      <c r="FZ154" s="89">
        <f>SUM(FZ67:FZ153)</f>
        <v>342821221.84916645</v>
      </c>
      <c r="GA154" s="89"/>
      <c r="GB154" s="89"/>
      <c r="GC154" s="89"/>
      <c r="GD154" s="89"/>
      <c r="GE154" s="89">
        <f>SUM(GE67:GE153)</f>
        <v>100872961.28868787</v>
      </c>
      <c r="GF154" s="89"/>
      <c r="GG154" s="89"/>
      <c r="GH154" s="89">
        <f>SUM(GH67:GH153)</f>
        <v>192654464.05486915</v>
      </c>
      <c r="GI154" s="89">
        <f>SUM(GI67:GI153)</f>
        <v>33268905.427415118</v>
      </c>
      <c r="GJ154" s="89">
        <f>SUM(GJ67:GJ153)</f>
        <v>140218414.86016089</v>
      </c>
      <c r="GK154" s="409"/>
      <c r="GL154" s="89"/>
      <c r="GM154" s="89">
        <f>SUM(GM67:GM153)</f>
        <v>35228424.560000002</v>
      </c>
      <c r="GN154" s="89"/>
      <c r="GO154" s="89" t="e">
        <f>SUM(GO67:GT153)</f>
        <v>#DIV/0!</v>
      </c>
      <c r="GP154" s="89"/>
      <c r="GQ154" s="89"/>
      <c r="GR154" s="89">
        <f t="shared" ref="GR154:HC154" si="498">SUM(GR67:GR153)</f>
        <v>961404.35027501092</v>
      </c>
      <c r="GS154" s="89">
        <f t="shared" si="498"/>
        <v>1048331.2971668041</v>
      </c>
      <c r="GT154" s="89">
        <f t="shared" si="498"/>
        <v>3635463.0296446201</v>
      </c>
      <c r="GU154" s="89">
        <f t="shared" si="498"/>
        <v>4380210.4457824994</v>
      </c>
      <c r="GV154" s="89">
        <f t="shared" si="498"/>
        <v>2321601.6922500003</v>
      </c>
      <c r="GW154" s="89" t="e">
        <f t="shared" si="498"/>
        <v>#REF!</v>
      </c>
      <c r="GX154" s="89">
        <f t="shared" si="498"/>
        <v>91493</v>
      </c>
      <c r="GY154" s="89">
        <f t="shared" si="498"/>
        <v>3731876.4813130125</v>
      </c>
      <c r="GZ154" s="89" t="e">
        <f t="shared" si="498"/>
        <v>#REF!</v>
      </c>
      <c r="HA154" s="89">
        <f t="shared" si="498"/>
        <v>1145080.54745</v>
      </c>
      <c r="HB154" s="89">
        <f t="shared" si="498"/>
        <v>0</v>
      </c>
      <c r="HC154" s="89">
        <f t="shared" si="498"/>
        <v>955696.57000000007</v>
      </c>
      <c r="HD154" s="89"/>
      <c r="HE154" s="89"/>
      <c r="HF154" s="89"/>
      <c r="HG154" s="89"/>
      <c r="HH154" s="89"/>
      <c r="HI154" s="89"/>
      <c r="HJ154" s="89"/>
      <c r="HK154" s="89"/>
      <c r="HL154" s="89"/>
      <c r="HM154" s="89"/>
      <c r="HN154" s="89"/>
      <c r="HO154" s="89"/>
      <c r="HP154" s="89"/>
      <c r="HQ154" s="675"/>
      <c r="HR154" s="675"/>
      <c r="HS154" s="675"/>
      <c r="HT154" s="675"/>
      <c r="HU154" s="675"/>
      <c r="HV154" s="89"/>
      <c r="HW154" s="89"/>
      <c r="HX154" s="675"/>
    </row>
    <row r="155" spans="1:232" s="5" customFormat="1" ht="14.25" customHeight="1" thickBot="1">
      <c r="A155" s="782"/>
      <c r="B155" s="91"/>
      <c r="C155" s="91"/>
      <c r="D155" s="91"/>
      <c r="E155" s="91"/>
      <c r="F155" s="91"/>
      <c r="G155" s="91"/>
      <c r="H155" s="91"/>
      <c r="I155" s="91"/>
      <c r="J155" s="91"/>
      <c r="K155" s="209"/>
      <c r="L155" s="134"/>
      <c r="M155" s="134"/>
      <c r="N155" s="134"/>
      <c r="O155" s="91"/>
      <c r="P155" s="91"/>
      <c r="Q155" s="91"/>
      <c r="R155" s="91"/>
      <c r="S155" s="91"/>
      <c r="T155" s="90"/>
      <c r="U155" s="91"/>
      <c r="V155" s="91"/>
      <c r="W155" s="91"/>
      <c r="X155" s="91"/>
      <c r="Y155" s="91"/>
      <c r="Z155" s="91"/>
      <c r="AA155" s="91"/>
      <c r="AB155" s="91"/>
      <c r="AF155" s="91"/>
      <c r="AG155" s="105"/>
      <c r="AH155" s="105"/>
      <c r="AI155" s="105"/>
      <c r="AJ155" s="507"/>
      <c r="AK155" s="119"/>
      <c r="AL155" s="587"/>
      <c r="AM155" s="91"/>
      <c r="AN155" s="91"/>
      <c r="AO155" s="91"/>
      <c r="AP155" s="91"/>
      <c r="AQ155" s="91"/>
      <c r="AR155" s="91"/>
      <c r="AS155" s="91"/>
      <c r="AT155" s="91"/>
      <c r="AU155" s="91"/>
      <c r="AV155" s="91"/>
      <c r="AW155" s="92"/>
      <c r="AX155" s="66"/>
      <c r="AY155" s="91"/>
      <c r="AZ155" s="91"/>
      <c r="BA155" s="91"/>
      <c r="BB155" s="669"/>
      <c r="BC155" s="669"/>
      <c r="BD155" s="669"/>
      <c r="BE155" s="669">
        <f>GEOMEAN(BE100:BE127)</f>
        <v>158619.53429312352</v>
      </c>
      <c r="BF155" s="91"/>
      <c r="BG155" s="91"/>
      <c r="BH155" s="91"/>
      <c r="BI155" s="91"/>
      <c r="BJ155" s="119"/>
      <c r="BK155" s="119"/>
      <c r="BL155" s="119"/>
      <c r="BM155" s="119"/>
      <c r="BN155" s="119"/>
      <c r="BO155" s="119"/>
      <c r="BP155" s="119"/>
      <c r="BQ155" s="119"/>
      <c r="BR155" s="642"/>
      <c r="BS155" s="119"/>
      <c r="BT155" s="119"/>
      <c r="BU155" s="119"/>
      <c r="BV155" s="119"/>
      <c r="BW155" s="119"/>
      <c r="BX155" s="119"/>
      <c r="BY155" s="119"/>
      <c r="BZ155" s="119"/>
      <c r="CA155" s="119"/>
      <c r="CC155" s="356"/>
      <c r="CD155" s="356"/>
      <c r="CG155" s="356"/>
      <c r="CI155" s="356"/>
      <c r="CO155" s="356"/>
      <c r="CP155" s="356"/>
      <c r="CR155" s="91"/>
      <c r="CS155" s="356"/>
      <c r="CT155" s="356"/>
      <c r="CU155" s="356"/>
      <c r="CW155" s="356"/>
      <c r="CX155" s="91"/>
      <c r="CY155" s="91"/>
      <c r="CZ155" s="91"/>
      <c r="DB155" s="155"/>
      <c r="DC155" s="91"/>
      <c r="DD155" s="356"/>
      <c r="DE155" s="356"/>
      <c r="DG155" s="357"/>
      <c r="DH155" s="357"/>
      <c r="DI155" s="11"/>
      <c r="DJ155" s="357"/>
      <c r="DK155" s="357"/>
      <c r="DM155" s="356"/>
      <c r="DN155" s="356"/>
      <c r="DP155" s="356"/>
      <c r="DQ155" s="356"/>
      <c r="DS155" s="356"/>
      <c r="DT155" s="357"/>
      <c r="DU155" s="11"/>
      <c r="DV155" s="357"/>
      <c r="DW155" s="357"/>
      <c r="DX155" s="11"/>
      <c r="DY155" s="357"/>
      <c r="DZ155" s="357"/>
      <c r="EA155" s="357"/>
      <c r="EB155" s="91"/>
      <c r="EC155" s="91"/>
      <c r="ED155" s="91"/>
      <c r="EE155" s="119"/>
      <c r="EF155" s="91"/>
      <c r="EG155" s="91"/>
      <c r="EH155" s="91"/>
      <c r="EI155" s="91"/>
      <c r="EJ155" s="91"/>
      <c r="EK155" s="91"/>
      <c r="EL155" s="91"/>
      <c r="EM155" s="226"/>
      <c r="EN155" s="91"/>
      <c r="EO155" s="91"/>
      <c r="EP155" s="91"/>
      <c r="EQ155" s="91"/>
      <c r="ER155" s="374"/>
      <c r="ES155" s="374"/>
      <c r="ET155" s="374"/>
      <c r="EU155" s="374"/>
      <c r="EV155" s="374"/>
      <c r="EW155" s="374"/>
      <c r="EY155" s="371"/>
      <c r="EZ155" s="541"/>
      <c r="FC155" s="91"/>
      <c r="FD155" s="91"/>
      <c r="FE155" s="91"/>
      <c r="FF155" s="91"/>
      <c r="FG155" s="91"/>
      <c r="FH155" s="91"/>
      <c r="FI155" s="91"/>
      <c r="FJ155" s="91"/>
      <c r="FK155" s="91"/>
      <c r="FL155" s="91"/>
      <c r="FM155" s="91"/>
      <c r="FN155" s="91"/>
      <c r="FO155" s="91"/>
      <c r="FP155" s="91"/>
      <c r="FQ155" s="91"/>
      <c r="FR155" s="91"/>
      <c r="FS155" s="91"/>
      <c r="FT155" s="91"/>
      <c r="FU155" s="91"/>
      <c r="FV155" s="91"/>
      <c r="FW155" s="91"/>
      <c r="FX155" s="389"/>
      <c r="FY155" s="389"/>
      <c r="FZ155" s="600"/>
      <c r="GA155" s="91"/>
      <c r="GB155" s="612"/>
      <c r="GC155" s="91"/>
      <c r="GD155" s="91"/>
      <c r="GE155" s="91"/>
      <c r="GF155" s="91"/>
      <c r="GG155" s="91"/>
      <c r="GH155" s="91"/>
      <c r="GI155" s="91"/>
      <c r="GJ155" s="91"/>
      <c r="GK155" s="409"/>
      <c r="GL155" s="91"/>
      <c r="GM155" s="91"/>
      <c r="GN155" s="91"/>
      <c r="GO155" s="91"/>
      <c r="GP155" s="91"/>
      <c r="GQ155" s="91"/>
      <c r="GR155" s="91"/>
      <c r="GS155" s="91"/>
      <c r="GT155" s="91"/>
      <c r="GU155" s="93"/>
      <c r="GV155" s="93"/>
      <c r="GW155" s="93"/>
      <c r="GX155" s="93"/>
      <c r="GY155" s="93"/>
      <c r="GZ155" s="93"/>
      <c r="HA155" s="90"/>
      <c r="HB155" s="93"/>
      <c r="HC155" s="93"/>
      <c r="HD155" s="612"/>
      <c r="HE155" s="89"/>
      <c r="HF155" s="89"/>
      <c r="HG155" s="89"/>
      <c r="HH155" s="89"/>
      <c r="HI155" s="89"/>
      <c r="HJ155" s="89"/>
      <c r="HK155" s="89"/>
      <c r="HL155" s="89"/>
      <c r="HM155" s="93"/>
      <c r="HN155" s="93"/>
      <c r="HO155" s="93"/>
      <c r="HP155" s="93"/>
      <c r="HQ155" s="86"/>
      <c r="HR155" s="86"/>
      <c r="HS155" s="86"/>
      <c r="HT155" s="86"/>
      <c r="HU155" s="86"/>
      <c r="HV155" s="93"/>
      <c r="HW155" s="93"/>
      <c r="HX155" s="86"/>
    </row>
    <row r="156" spans="1:232" s="5" customFormat="1" ht="19.5" customHeight="1" thickBot="1">
      <c r="A156" s="783"/>
      <c r="E156" s="11"/>
      <c r="F156" s="11"/>
      <c r="G156" s="11"/>
      <c r="H156" s="11"/>
      <c r="I156" s="11"/>
      <c r="J156" s="11"/>
      <c r="K156" s="210"/>
      <c r="L156" s="135"/>
      <c r="M156" s="135"/>
      <c r="N156" s="135"/>
      <c r="O156" s="5">
        <v>4233</v>
      </c>
      <c r="P156" s="177">
        <f>O156/187</f>
        <v>22.636363636363637</v>
      </c>
      <c r="Q156" s="177"/>
      <c r="R156" s="177" t="e">
        <f>P156/#REF!</f>
        <v>#REF!</v>
      </c>
      <c r="S156" s="5">
        <f>P156/O156</f>
        <v>5.3475935828877002E-3</v>
      </c>
      <c r="T156" s="11">
        <f>Q156/O156</f>
        <v>0</v>
      </c>
      <c r="U156" s="5" t="e">
        <f>Q156/AK156</f>
        <v>#DIV/0!</v>
      </c>
      <c r="V156" s="5" t="e">
        <f>Q156/#REF!</f>
        <v>#REF!</v>
      </c>
      <c r="W156" s="5" t="e">
        <f>O156/#REF!</f>
        <v>#REF!</v>
      </c>
      <c r="Y156" s="5" t="e">
        <f>10000*#REF!/O156</f>
        <v>#REF!</v>
      </c>
      <c r="Z156" s="5" t="s">
        <v>153</v>
      </c>
      <c r="AC156" s="520">
        <f>SUBTOTAL(103,Type)</f>
        <v>98</v>
      </c>
      <c r="AD156" s="520">
        <f>SUBTOTAL(109,AD2:AD153)</f>
        <v>4046</v>
      </c>
      <c r="AG156" s="105"/>
      <c r="AH156" s="105"/>
      <c r="AI156" s="105"/>
      <c r="AJ156" s="507"/>
      <c r="AK156" s="581"/>
      <c r="AL156" s="588"/>
      <c r="AN156" s="579"/>
      <c r="AQ156" s="94"/>
      <c r="AR156" s="94"/>
      <c r="AS156" s="94"/>
      <c r="AT156" s="94"/>
      <c r="AU156" s="94"/>
      <c r="AW156" s="95"/>
      <c r="AX156" s="27"/>
      <c r="BC156" s="516">
        <f>21.066*BC84-BC83*2.56</f>
        <v>0</v>
      </c>
      <c r="BJ156" s="121"/>
      <c r="BK156" s="121"/>
      <c r="BL156" s="121"/>
      <c r="BM156" s="121"/>
      <c r="BN156" s="121"/>
      <c r="BO156" s="120"/>
      <c r="BP156" s="120"/>
      <c r="BQ156" s="120"/>
      <c r="BR156" s="643"/>
      <c r="BS156" s="120"/>
      <c r="BT156" s="120"/>
      <c r="BU156" s="120"/>
      <c r="BV156" s="120"/>
      <c r="BW156" s="120"/>
      <c r="BX156" s="120"/>
      <c r="BY156" s="120"/>
      <c r="BZ156" s="120"/>
      <c r="CA156" s="120"/>
      <c r="CC156" s="356"/>
      <c r="CD156" s="356"/>
      <c r="CE156" s="195"/>
      <c r="CG156" s="356"/>
      <c r="CI156" s="356"/>
      <c r="CO156" s="356"/>
      <c r="CP156" s="356"/>
      <c r="CS156" s="356"/>
      <c r="CT156" s="356"/>
      <c r="CU156" s="356"/>
      <c r="CW156" s="356"/>
      <c r="DB156" s="156"/>
      <c r="DD156" s="356"/>
      <c r="DE156" s="356"/>
      <c r="DF156" s="195"/>
      <c r="DG156" s="357"/>
      <c r="DH156" s="357"/>
      <c r="DI156" s="11"/>
      <c r="DJ156" s="357"/>
      <c r="DK156" s="357"/>
      <c r="DM156" s="356"/>
      <c r="DN156" s="356"/>
      <c r="DP156" s="356"/>
      <c r="DQ156" s="356"/>
      <c r="DS156" s="356"/>
      <c r="DT156" s="357"/>
      <c r="DU156" s="11"/>
      <c r="DV156" s="357"/>
      <c r="DW156" s="357"/>
      <c r="DX156" s="11"/>
      <c r="DY156" s="357"/>
      <c r="DZ156" s="357"/>
      <c r="EA156" s="357"/>
      <c r="EE156" s="120"/>
      <c r="EM156" s="227"/>
      <c r="ER156" s="374"/>
      <c r="ES156" s="374"/>
      <c r="ET156" s="374"/>
      <c r="EU156" s="374"/>
      <c r="EV156" s="374"/>
      <c r="EW156" s="374"/>
      <c r="EY156" s="371"/>
      <c r="EZ156" s="541"/>
      <c r="FX156" s="390"/>
      <c r="FY156" s="390"/>
      <c r="FZ156" s="195"/>
      <c r="GB156" s="195"/>
      <c r="GH156" s="5" t="s">
        <v>266</v>
      </c>
      <c r="GJ156" s="5" t="s">
        <v>136</v>
      </c>
      <c r="GK156" s="410"/>
      <c r="HA156" s="11"/>
      <c r="HD156" s="195"/>
      <c r="HM156" s="178"/>
      <c r="HN156" s="178"/>
      <c r="HO156" s="178"/>
      <c r="HP156" s="178"/>
      <c r="HQ156" s="676"/>
      <c r="HR156" s="676"/>
      <c r="HS156" s="676"/>
      <c r="HT156" s="676"/>
      <c r="HU156" s="676"/>
      <c r="HV156" s="178"/>
      <c r="HW156" s="178"/>
      <c r="HX156" s="676"/>
    </row>
    <row r="157" spans="1:232" s="518" customFormat="1" ht="15" thickBot="1">
      <c r="A157" s="784"/>
      <c r="B157" s="480"/>
      <c r="C157" s="511"/>
      <c r="D157" s="480"/>
      <c r="E157" s="480"/>
      <c r="F157" s="480"/>
      <c r="G157" s="480"/>
      <c r="H157" s="480"/>
      <c r="I157" s="480"/>
      <c r="J157" s="480"/>
      <c r="K157" s="512"/>
      <c r="L157" s="513"/>
      <c r="M157" s="513"/>
      <c r="N157" s="513"/>
      <c r="O157" s="511"/>
      <c r="P157" s="511"/>
      <c r="Q157" s="511"/>
      <c r="R157" s="511"/>
      <c r="S157" s="511"/>
      <c r="T157" s="511" t="e">
        <f>Q157/O157</f>
        <v>#DIV/0!</v>
      </c>
      <c r="U157" s="511"/>
      <c r="V157" s="511"/>
      <c r="W157" s="511"/>
      <c r="X157" s="511"/>
      <c r="Y157" s="511"/>
      <c r="Z157" s="511"/>
      <c r="AA157" s="511"/>
      <c r="AB157" s="511"/>
      <c r="AE157" s="520">
        <f t="shared" ref="AE157:AK157" si="499">SUBTOTAL(109,AE2:AE153)</f>
        <v>2996</v>
      </c>
      <c r="AF157" s="520">
        <f t="shared" si="499"/>
        <v>689</v>
      </c>
      <c r="AG157" s="520">
        <f t="shared" si="499"/>
        <v>1870</v>
      </c>
      <c r="AH157" s="520">
        <f t="shared" si="499"/>
        <v>437</v>
      </c>
      <c r="AI157" s="520">
        <f t="shared" si="499"/>
        <v>1050</v>
      </c>
      <c r="AJ157" s="441">
        <f t="shared" si="499"/>
        <v>117625.60000000001</v>
      </c>
      <c r="AK157" s="582">
        <f t="shared" si="499"/>
        <v>144796.625</v>
      </c>
      <c r="AL157" s="589"/>
      <c r="AM157" s="441">
        <f>SUBTOTAL(9,AM2:AM153)</f>
        <v>3837.4665066912657</v>
      </c>
      <c r="AN157" s="579"/>
      <c r="AO157" s="579"/>
      <c r="AP157" s="579"/>
      <c r="AQ157" s="579"/>
      <c r="AR157" s="579"/>
      <c r="AS157" s="579"/>
      <c r="AT157" s="579"/>
      <c r="AU157" s="579"/>
      <c r="AV157" s="579"/>
      <c r="AW157" s="441">
        <f t="shared" ref="AW157:BB157" si="500">SUBTOTAL(9,AW2:AW153)</f>
        <v>0</v>
      </c>
      <c r="AX157" s="441">
        <f t="shared" si="500"/>
        <v>598</v>
      </c>
      <c r="AY157" s="441">
        <f t="shared" si="500"/>
        <v>43.5</v>
      </c>
      <c r="AZ157" s="441">
        <f t="shared" si="500"/>
        <v>0</v>
      </c>
      <c r="BA157" s="441">
        <f t="shared" si="500"/>
        <v>0</v>
      </c>
      <c r="BB157" s="441">
        <f t="shared" si="500"/>
        <v>189730126.74146903</v>
      </c>
      <c r="BC157" s="503"/>
      <c r="BD157" s="503"/>
      <c r="BE157" s="503"/>
      <c r="BF157" s="514"/>
      <c r="BG157" s="514"/>
      <c r="BH157" s="514"/>
      <c r="BI157" s="514"/>
      <c r="BJ157" s="515"/>
      <c r="BK157" s="515" t="s">
        <v>832</v>
      </c>
      <c r="BL157" s="515"/>
      <c r="BM157" s="515"/>
      <c r="BN157" s="515"/>
      <c r="BO157" s="514"/>
      <c r="BP157" s="514"/>
      <c r="BQ157" s="514"/>
      <c r="BR157" s="644"/>
      <c r="BS157" s="441">
        <f>SUBTOTAL(9,BS2:BS153)</f>
        <v>782334</v>
      </c>
      <c r="BT157" s="441"/>
      <c r="BU157" s="514"/>
      <c r="BV157" s="514"/>
      <c r="BW157" s="441">
        <f>SUBTOTAL(9,BW2:BW153)</f>
        <v>826762.70000000007</v>
      </c>
      <c r="BX157" s="441">
        <f>SUBTOTAL(9,BX2:BX153)</f>
        <v>0</v>
      </c>
      <c r="BY157" s="441">
        <f>SUBTOTAL(9,BY2:BY153)</f>
        <v>-73232.600000000006</v>
      </c>
      <c r="BZ157" s="441">
        <f>SUBTOTAL(9,BZ2:BZ153)</f>
        <v>8287.8000000000011</v>
      </c>
      <c r="CA157" s="503"/>
      <c r="CB157" s="441"/>
      <c r="CC157" s="441"/>
      <c r="CD157" s="441"/>
      <c r="CE157" s="441"/>
      <c r="CF157" s="441"/>
      <c r="CG157" s="441"/>
      <c r="CH157" s="441"/>
      <c r="CI157" s="441"/>
      <c r="CJ157" s="441"/>
      <c r="CK157" s="441"/>
      <c r="CL157" s="441"/>
      <c r="CM157" s="441"/>
      <c r="CN157" s="441"/>
      <c r="CO157" s="441"/>
      <c r="CP157" s="441"/>
      <c r="CQ157" s="441"/>
      <c r="CR157" s="441"/>
      <c r="CS157" s="441"/>
      <c r="CT157" s="441"/>
      <c r="CU157" s="441"/>
      <c r="CV157" s="441"/>
      <c r="CW157" s="441"/>
      <c r="CX157" s="516"/>
      <c r="CY157" s="516"/>
      <c r="CZ157" s="516"/>
      <c r="DA157" s="516"/>
      <c r="DB157" s="516"/>
      <c r="DC157" s="516"/>
      <c r="DD157" s="516"/>
      <c r="DE157" s="516"/>
      <c r="DF157" s="517"/>
      <c r="DG157" s="480"/>
      <c r="DH157" s="480"/>
      <c r="DI157" s="480"/>
      <c r="DJ157" s="480"/>
      <c r="DK157" s="480"/>
      <c r="DL157" s="516"/>
      <c r="DM157" s="516"/>
      <c r="DN157" s="516"/>
      <c r="DO157" s="516"/>
      <c r="DP157" s="516"/>
      <c r="DQ157" s="516"/>
      <c r="DR157" s="516"/>
      <c r="DS157" s="516"/>
      <c r="DT157" s="480"/>
      <c r="DU157" s="480"/>
      <c r="DV157" s="480"/>
      <c r="DW157" s="480"/>
      <c r="DX157" s="480"/>
      <c r="DY157" s="480"/>
      <c r="DZ157" s="480"/>
      <c r="EA157" s="480"/>
      <c r="EB157" s="516"/>
      <c r="EC157" s="516"/>
      <c r="ED157" s="441">
        <f>SUBTOTAL(101,ED4:ED135)</f>
        <v>2.1585365853658525</v>
      </c>
      <c r="EE157" s="606"/>
      <c r="EF157" s="516"/>
      <c r="EG157" s="516"/>
      <c r="EH157" s="516"/>
      <c r="EI157" s="516"/>
      <c r="EJ157" s="516"/>
      <c r="EK157" s="503"/>
      <c r="EL157" s="516"/>
      <c r="EM157" s="516"/>
      <c r="EN157" s="441">
        <f>SUBTOTAL(101,EN4:EN135)</f>
        <v>21.03083333333333</v>
      </c>
      <c r="EO157" s="516"/>
      <c r="EP157" s="441">
        <f>SUBTOTAL(9,EP2:EP153)</f>
        <v>1219445.3709432669</v>
      </c>
      <c r="EQ157" s="516"/>
      <c r="ER157" s="441">
        <f t="shared" ref="ER157:EW157" si="501">SUBTOTAL(9,ER2:ER153)</f>
        <v>200000</v>
      </c>
      <c r="ES157" s="441">
        <f t="shared" si="501"/>
        <v>31250</v>
      </c>
      <c r="ET157" s="441">
        <f t="shared" si="501"/>
        <v>1723873.89</v>
      </c>
      <c r="EU157" s="441">
        <f t="shared" si="501"/>
        <v>181376</v>
      </c>
      <c r="EV157" s="441">
        <f t="shared" si="501"/>
        <v>0</v>
      </c>
      <c r="EW157" s="441" t="e">
        <f t="shared" si="501"/>
        <v>#DIV/0!</v>
      </c>
      <c r="EX157" s="5"/>
      <c r="EY157" s="5"/>
      <c r="EZ157" s="5"/>
      <c r="FA157" s="5"/>
      <c r="FB157" s="5"/>
      <c r="FC157" s="5"/>
      <c r="FD157" s="5"/>
      <c r="FE157" s="5"/>
      <c r="FF157" s="5"/>
      <c r="FG157" s="5"/>
      <c r="FH157" s="5"/>
      <c r="FI157" s="5"/>
      <c r="FJ157" s="5"/>
      <c r="FK157" s="5"/>
      <c r="FL157" s="5"/>
      <c r="FM157" s="5"/>
      <c r="FN157" s="5"/>
      <c r="FO157" s="5"/>
      <c r="FP157" s="5"/>
      <c r="FQ157" s="5"/>
      <c r="FR157" s="5"/>
      <c r="FS157" s="5"/>
      <c r="FT157" s="5"/>
      <c r="FU157" s="5"/>
      <c r="FV157" s="5"/>
      <c r="FW157" s="5"/>
      <c r="FX157" s="441">
        <f t="shared" ref="FX157:GF157" si="502">SUBTOTAL(9,FX2:FX153)</f>
        <v>0</v>
      </c>
      <c r="FY157" s="441">
        <f t="shared" si="502"/>
        <v>335511307.29862785</v>
      </c>
      <c r="FZ157" s="441">
        <f t="shared" si="502"/>
        <v>335511307.29862785</v>
      </c>
      <c r="GA157" s="441">
        <f t="shared" si="502"/>
        <v>300826815.74133474</v>
      </c>
      <c r="GB157" s="441">
        <f t="shared" si="502"/>
        <v>38053038.200275011</v>
      </c>
      <c r="GC157" s="441" t="e">
        <f t="shared" si="502"/>
        <v>#DIV/0!</v>
      </c>
      <c r="GD157" s="441" t="e">
        <f t="shared" si="502"/>
        <v>#REF!</v>
      </c>
      <c r="GE157" s="441">
        <f t="shared" si="502"/>
        <v>96442973.23814933</v>
      </c>
      <c r="GF157" s="441">
        <f t="shared" si="502"/>
        <v>24947044.972614899</v>
      </c>
      <c r="GG157" s="441">
        <f>GE157/$AD$156</f>
        <v>23836.622154757621</v>
      </c>
      <c r="GH157" s="441">
        <f>SUBTOTAL(9,GH2:GH153)</f>
        <v>187594624.83486912</v>
      </c>
      <c r="GI157" s="441">
        <f>SUBTOTAL(9,GI2:GI153)</f>
        <v>30588201.347415112</v>
      </c>
      <c r="GJ157" s="441">
        <f>SUBTOTAL(9,GJ2:GJ153)</f>
        <v>131592146.78016086</v>
      </c>
      <c r="GK157" s="441">
        <f>GH157/$AD$156</f>
        <v>46365.45349354155</v>
      </c>
      <c r="GL157" s="441">
        <f t="shared" ref="GL157:GR157" si="503">SUBTOTAL(9,GL2:GL153)</f>
        <v>9169269.0253344961</v>
      </c>
      <c r="GM157" s="441">
        <f t="shared" si="503"/>
        <v>36717675.560000002</v>
      </c>
      <c r="GN157" s="441">
        <f t="shared" si="503"/>
        <v>0</v>
      </c>
      <c r="GO157" s="441" t="e">
        <f t="shared" si="503"/>
        <v>#DIV/0!</v>
      </c>
      <c r="GP157" s="441">
        <f t="shared" si="503"/>
        <v>3728000</v>
      </c>
      <c r="GQ157" s="441">
        <f t="shared" si="503"/>
        <v>0</v>
      </c>
      <c r="GR157" s="441">
        <f t="shared" si="503"/>
        <v>1335362.6402750111</v>
      </c>
      <c r="GS157" s="441">
        <f>GM157/$AD$156</f>
        <v>9075.0557488877912</v>
      </c>
      <c r="GT157" s="441">
        <f>(GM157+GE157)/$AD$156</f>
        <v>32911.67790364541</v>
      </c>
      <c r="GU157" s="441">
        <f t="shared" ref="GU157:HD157" si="504">SUBTOTAL(9,GU2:GU153)</f>
        <v>0</v>
      </c>
      <c r="GV157" s="441">
        <f t="shared" si="504"/>
        <v>0</v>
      </c>
      <c r="GW157" s="441" t="e">
        <f t="shared" si="504"/>
        <v>#REF!</v>
      </c>
      <c r="GX157" s="441">
        <f t="shared" si="504"/>
        <v>0</v>
      </c>
      <c r="GY157" s="441">
        <f t="shared" si="504"/>
        <v>3496353.3019506354</v>
      </c>
      <c r="GZ157" s="441" t="e">
        <f t="shared" si="504"/>
        <v>#REF!</v>
      </c>
      <c r="HA157" s="441">
        <f t="shared" si="504"/>
        <v>0</v>
      </c>
      <c r="HB157" s="441">
        <f t="shared" si="504"/>
        <v>0</v>
      </c>
      <c r="HC157" s="441">
        <f t="shared" si="504"/>
        <v>523402</v>
      </c>
      <c r="HD157" s="613">
        <f t="shared" si="504"/>
        <v>19218605.226067588</v>
      </c>
      <c r="HE157" s="615">
        <f>HD157/FZ157</f>
        <v>5.7281542553085173E-2</v>
      </c>
      <c r="HF157" s="613">
        <f>SUBTOTAL(9,HF2:HF153)</f>
        <v>308464266.55256033</v>
      </c>
      <c r="HG157" s="613">
        <f ca="1">SUBTOTAL(9,HG2:HG153)</f>
        <v>64526333.306560673</v>
      </c>
      <c r="HH157" s="649">
        <f ca="1">(HG157+HD157)/FZ157</f>
        <v>0.24960392305970655</v>
      </c>
      <c r="HI157" s="613">
        <f>SUBTOTAL(9,HI2:HI153)</f>
        <v>10390766.029999999</v>
      </c>
      <c r="HJ157" s="613">
        <f>SUBTOTAL(9,HJ2:HJ153)</f>
        <v>26486884.35027501</v>
      </c>
      <c r="HK157" s="615">
        <f>HI157/GB157</f>
        <v>0.27306008984914387</v>
      </c>
      <c r="HL157" s="615"/>
      <c r="HM157" s="480"/>
      <c r="HN157" s="480"/>
      <c r="HO157" s="480"/>
      <c r="HP157" s="480"/>
      <c r="HQ157" s="677"/>
      <c r="HR157" s="677"/>
      <c r="HS157" s="677"/>
      <c r="HT157" s="677"/>
      <c r="HU157" s="677"/>
      <c r="HV157" s="480"/>
      <c r="HW157" s="480"/>
      <c r="HX157" s="677"/>
    </row>
    <row r="158" spans="1:232">
      <c r="H158" s="480" t="s">
        <v>790</v>
      </c>
      <c r="I158" s="480"/>
      <c r="J158" s="480"/>
      <c r="K158" s="512"/>
      <c r="AB158" s="579"/>
      <c r="AC158" s="579"/>
      <c r="AD158" s="764"/>
      <c r="AE158" s="579"/>
      <c r="AF158" s="740">
        <f>AF157/AD156</f>
        <v>0.17029164607019279</v>
      </c>
      <c r="AG158" s="740">
        <f>AG157/AD156</f>
        <v>0.46218487394957986</v>
      </c>
      <c r="AH158" s="740">
        <f>AH157/AD156</f>
        <v>0.10800790904597132</v>
      </c>
      <c r="AI158" s="740">
        <f>AI157/AD156</f>
        <v>0.25951557093425603</v>
      </c>
      <c r="AJ158" s="579"/>
      <c r="AK158" s="583"/>
      <c r="AL158" s="590"/>
      <c r="AM158" s="579"/>
      <c r="AN158" s="579"/>
      <c r="AO158" s="579"/>
      <c r="AP158" s="579"/>
      <c r="BK158" s="121" t="s">
        <v>833</v>
      </c>
      <c r="BO158" s="120"/>
      <c r="BP158" s="120"/>
      <c r="BQ158" s="120"/>
      <c r="BR158" s="643"/>
      <c r="BU158" s="120"/>
      <c r="BV158" s="120"/>
      <c r="CX158" s="5"/>
      <c r="CY158" s="5"/>
      <c r="CZ158" s="5"/>
      <c r="DA158" s="5"/>
      <c r="DB158" s="156"/>
      <c r="DC158" s="5"/>
      <c r="DD158" s="356"/>
      <c r="DE158" s="356"/>
      <c r="DF158" s="195"/>
      <c r="DL158" s="5"/>
      <c r="DM158" s="356"/>
      <c r="DN158" s="356"/>
      <c r="DO158" s="5"/>
      <c r="DP158" s="356"/>
      <c r="DQ158" s="356"/>
      <c r="DR158" s="5"/>
      <c r="DS158" s="356"/>
      <c r="DV158" s="357"/>
      <c r="DW158" s="357"/>
      <c r="DX158" s="11"/>
      <c r="DY158" s="357"/>
      <c r="DZ158" s="357"/>
      <c r="EA158" s="357"/>
      <c r="EB158" s="5"/>
      <c r="EC158" s="5"/>
      <c r="ED158" s="5"/>
      <c r="EE158" s="120"/>
      <c r="EF158" s="5"/>
      <c r="EG158" s="5"/>
      <c r="EH158" s="5"/>
      <c r="EI158" s="5"/>
      <c r="EJ158" s="5"/>
      <c r="EK158" s="5"/>
      <c r="EL158" s="5"/>
      <c r="EM158" s="5"/>
      <c r="EN158" s="5"/>
      <c r="EO158" s="5"/>
      <c r="EP158" s="5"/>
      <c r="EQ158" s="5"/>
      <c r="ER158" s="5"/>
      <c r="ES158" s="5"/>
      <c r="ET158" s="5"/>
      <c r="EU158" s="5"/>
      <c r="EV158" s="5"/>
      <c r="EW158" s="5"/>
      <c r="EX158" s="5"/>
      <c r="EY158" s="5"/>
      <c r="EZ158" s="5"/>
      <c r="FA158" s="670">
        <f>AD158/AD156</f>
        <v>0</v>
      </c>
      <c r="FB158" s="5"/>
      <c r="FC158" s="5"/>
      <c r="FD158" s="5"/>
      <c r="FE158" s="5"/>
      <c r="FF158" s="5"/>
      <c r="FG158" s="5"/>
      <c r="FH158" s="5"/>
      <c r="FI158" s="5"/>
      <c r="FJ158" s="5"/>
      <c r="FK158" s="5"/>
      <c r="FL158" s="5"/>
      <c r="FM158" s="5"/>
      <c r="FN158" s="5"/>
      <c r="FO158" s="5"/>
      <c r="FP158" s="5"/>
      <c r="FQ158" s="5"/>
      <c r="FR158" s="5"/>
      <c r="FS158" s="5"/>
      <c r="FT158" s="5"/>
      <c r="FU158" s="5"/>
      <c r="FV158" s="5"/>
      <c r="FW158" s="5"/>
      <c r="FX158" s="5"/>
      <c r="FY158" s="5"/>
      <c r="FZ158" s="195"/>
      <c r="GA158" s="5"/>
      <c r="GB158" s="195"/>
      <c r="GC158" s="5"/>
      <c r="GD158" s="5"/>
      <c r="GE158" s="5"/>
      <c r="GF158" s="5"/>
      <c r="GG158" s="5"/>
      <c r="GH158" s="5"/>
      <c r="GI158" s="5"/>
      <c r="GJ158" s="5"/>
      <c r="GK158" s="5"/>
      <c r="GL158" s="5"/>
      <c r="GM158" s="5"/>
      <c r="GN158" s="5"/>
      <c r="GO158" s="5"/>
      <c r="GP158" s="5"/>
      <c r="GQ158" s="5"/>
      <c r="GR158" s="5"/>
      <c r="GS158" s="5"/>
      <c r="GT158" s="5"/>
      <c r="GU158" s="5"/>
      <c r="GV158" s="5"/>
      <c r="GW158" s="5"/>
      <c r="GX158" s="5"/>
      <c r="GY158" s="5"/>
      <c r="GZ158" s="5"/>
      <c r="HA158" s="5"/>
      <c r="HB158" s="5"/>
      <c r="HC158" s="5"/>
      <c r="HD158" s="195"/>
      <c r="HE158" s="5"/>
      <c r="HF158" s="5"/>
      <c r="HG158" s="5"/>
      <c r="HH158" s="5"/>
      <c r="HI158" s="5"/>
      <c r="HJ158" s="5"/>
      <c r="HK158" s="5"/>
      <c r="HL158" s="5"/>
    </row>
    <row r="159" spans="1:232">
      <c r="H159" s="480" t="s">
        <v>456</v>
      </c>
      <c r="I159" s="480"/>
      <c r="J159" s="480"/>
      <c r="K159" s="512"/>
      <c r="AB159" s="157"/>
      <c r="AI159" s="20"/>
      <c r="BK159" s="121" t="s">
        <v>834</v>
      </c>
      <c r="BO159" s="120"/>
      <c r="BP159" s="120"/>
      <c r="BQ159" s="120"/>
      <c r="BR159" s="643"/>
      <c r="BU159" s="120"/>
      <c r="BV159" s="120"/>
      <c r="DB159" s="156"/>
      <c r="DC159" s="5"/>
      <c r="DV159" s="357"/>
      <c r="DW159" s="357"/>
      <c r="DX159" s="11"/>
      <c r="DY159" s="357"/>
      <c r="DZ159" s="357"/>
      <c r="EA159" s="357"/>
      <c r="EF159" s="5"/>
      <c r="EG159" s="5"/>
      <c r="EI159" s="5"/>
      <c r="EJ159" s="5"/>
      <c r="FA159" s="670">
        <f>AD159/AD156</f>
        <v>0</v>
      </c>
      <c r="GM159" s="98"/>
      <c r="GN159" s="98"/>
      <c r="GO159" s="11"/>
      <c r="GP159" s="11"/>
      <c r="GQ159" s="11"/>
      <c r="GR159" s="11"/>
      <c r="GS159" s="11"/>
      <c r="GT159" s="11"/>
      <c r="HB159" s="24"/>
    </row>
    <row r="160" spans="1:232">
      <c r="H160" s="480"/>
      <c r="I160" s="480"/>
      <c r="J160" s="480"/>
      <c r="K160" s="512"/>
      <c r="AH160" s="764">
        <f>208-31</f>
        <v>177</v>
      </c>
      <c r="AJ160" s="11"/>
      <c r="AK160" s="11"/>
      <c r="AL160" s="11"/>
      <c r="AW160" s="11"/>
      <c r="AX160" s="11"/>
      <c r="BB160" s="98"/>
      <c r="BJ160" s="11"/>
      <c r="BK160" s="11" t="s">
        <v>835</v>
      </c>
      <c r="BL160" s="11"/>
      <c r="BM160" s="11"/>
      <c r="BN160" s="11"/>
      <c r="BO160" s="11"/>
      <c r="BP160" s="11"/>
      <c r="BQ160" s="11"/>
      <c r="BR160" s="228"/>
      <c r="BS160" s="11"/>
      <c r="BT160" s="11"/>
      <c r="BU160" s="11"/>
      <c r="BV160" s="11"/>
      <c r="BW160" s="11"/>
      <c r="BX160" s="11"/>
      <c r="BY160" s="11"/>
      <c r="BZ160" s="11"/>
      <c r="CA160" s="11"/>
      <c r="DB160" s="156"/>
      <c r="DC160" s="5"/>
      <c r="DV160" s="357"/>
      <c r="DW160" s="357"/>
      <c r="DX160" s="11"/>
      <c r="DY160" s="357"/>
      <c r="DZ160" s="357"/>
      <c r="EA160" s="357"/>
      <c r="FA160" s="670">
        <f>AD160/AD156</f>
        <v>0</v>
      </c>
      <c r="FX160" s="393"/>
      <c r="FY160" s="393"/>
      <c r="FZ160" s="671">
        <f>FZ157/115</f>
        <v>2917489.6286837202</v>
      </c>
      <c r="GM160" s="199"/>
      <c r="GN160" s="46"/>
      <c r="GO160" s="48"/>
      <c r="GP160" s="48"/>
      <c r="GQ160" s="48"/>
      <c r="GR160" s="11"/>
      <c r="GS160" s="47"/>
      <c r="GT160" s="47"/>
      <c r="HB160" s="24"/>
    </row>
    <row r="161" spans="1:220" ht="34.200000000000003" customHeight="1">
      <c r="A161" s="786"/>
      <c r="B161" s="99"/>
      <c r="H161" s="480">
        <v>2018</v>
      </c>
      <c r="I161" s="480">
        <f>SUMPRODUCT((YEAR(OS)=H161)*(Nlgts_hors_rehab))</f>
        <v>300</v>
      </c>
      <c r="J161" s="480"/>
      <c r="K161" s="512"/>
      <c r="AJ161" s="11"/>
      <c r="BZ161" s="559">
        <f>BW72+BZ72</f>
        <v>31121.89</v>
      </c>
      <c r="CA161" s="559"/>
      <c r="DV161" s="357"/>
      <c r="DW161" s="357"/>
      <c r="DX161" s="11"/>
      <c r="DY161" s="357"/>
      <c r="DZ161" s="357"/>
      <c r="EA161" s="357"/>
      <c r="EC161" s="157"/>
      <c r="EF161" s="157"/>
      <c r="FA161" s="670"/>
      <c r="FZ161" s="614">
        <f>FZ158*1.2944%</f>
        <v>0</v>
      </c>
      <c r="GA161" s="97"/>
      <c r="GB161" s="200"/>
      <c r="GI161" s="11">
        <v>406000</v>
      </c>
      <c r="GK161" s="411">
        <v>83468</v>
      </c>
      <c r="GL161" s="11">
        <v>83468</v>
      </c>
      <c r="GM161" s="40">
        <f t="shared" ref="GM161:GM169" si="505">GI161+GJ161+GL161</f>
        <v>489468</v>
      </c>
      <c r="GP161" s="50">
        <f>SUBTOTAL(9,GP162:GP163)</f>
        <v>5521553</v>
      </c>
      <c r="GQ161" s="50"/>
      <c r="GR161" s="50">
        <f>SUBTOTAL(9,GR162:GR163)</f>
        <v>358</v>
      </c>
      <c r="GS161" s="175">
        <f t="shared" ref="GS161:GS168" si="506">GP161/GR161</f>
        <v>15423.332402234637</v>
      </c>
      <c r="GT161" s="47"/>
      <c r="HB161" s="24"/>
      <c r="HC161" s="98"/>
      <c r="HD161" s="200"/>
      <c r="HE161" s="98"/>
      <c r="HF161" s="98"/>
      <c r="HG161" s="98"/>
      <c r="HH161" s="98"/>
      <c r="HI161" s="98"/>
      <c r="HJ161" s="98"/>
      <c r="HK161" s="98"/>
      <c r="HL161" s="98"/>
    </row>
    <row r="162" spans="1:220">
      <c r="AF162" s="20"/>
      <c r="AG162" s="20"/>
      <c r="AH162" s="20"/>
      <c r="AI162" s="20"/>
      <c r="DV162" s="357"/>
      <c r="DW162" s="357"/>
      <c r="DX162" s="11"/>
      <c r="DY162" s="357"/>
      <c r="DZ162" s="357"/>
      <c r="EA162" s="357"/>
      <c r="EC162" s="157"/>
      <c r="EF162" s="157"/>
      <c r="FA162" s="670"/>
      <c r="FZ162" s="21">
        <f>FZ158*1.204232%</f>
        <v>0</v>
      </c>
      <c r="GB162" s="200"/>
      <c r="GI162" s="11">
        <v>266000</v>
      </c>
      <c r="GK162" s="411">
        <v>14007</v>
      </c>
      <c r="GL162" s="11">
        <v>14007</v>
      </c>
      <c r="GM162" s="40">
        <f t="shared" si="505"/>
        <v>280007</v>
      </c>
      <c r="GP162" s="98">
        <v>4441553</v>
      </c>
      <c r="GQ162" s="98"/>
      <c r="GR162" s="98">
        <v>304</v>
      </c>
      <c r="GS162" s="176">
        <f t="shared" si="506"/>
        <v>14610.371710526315</v>
      </c>
      <c r="GT162" s="11"/>
      <c r="HB162" s="24"/>
      <c r="HD162" s="200"/>
      <c r="HE162" s="98"/>
      <c r="HF162" s="98"/>
      <c r="HG162" s="98"/>
      <c r="HH162" s="98"/>
      <c r="HI162" s="98"/>
      <c r="HJ162" s="98"/>
      <c r="HK162" s="98"/>
      <c r="HL162" s="98"/>
    </row>
    <row r="163" spans="1:220">
      <c r="A163" s="787"/>
      <c r="D163" s="100"/>
      <c r="AD163" s="157"/>
      <c r="AE163" s="157"/>
      <c r="AF163" s="157"/>
      <c r="AG163" s="157"/>
      <c r="AH163" s="157"/>
      <c r="DV163" s="357"/>
      <c r="DW163" s="357"/>
      <c r="DX163" s="11"/>
      <c r="DY163" s="357"/>
      <c r="DZ163" s="357"/>
      <c r="EA163" s="357"/>
      <c r="FV163" s="121"/>
      <c r="FW163" s="121"/>
      <c r="FX163" s="393"/>
      <c r="FY163" s="393"/>
      <c r="FZ163" s="614">
        <f>FZ161-FZ162</f>
        <v>0</v>
      </c>
      <c r="GA163" s="97"/>
      <c r="GI163" s="11">
        <v>360000</v>
      </c>
      <c r="GK163" s="411">
        <v>17485</v>
      </c>
      <c r="GL163" s="11">
        <v>17485</v>
      </c>
      <c r="GM163" s="40">
        <f t="shared" si="505"/>
        <v>377485</v>
      </c>
      <c r="GP163" s="11">
        <v>1080000</v>
      </c>
      <c r="GQ163" s="11"/>
      <c r="GR163" s="174">
        <v>54</v>
      </c>
      <c r="GS163" s="176">
        <f t="shared" si="506"/>
        <v>20000</v>
      </c>
      <c r="GT163" s="11"/>
    </row>
    <row r="164" spans="1:220" ht="26.4" customHeight="1">
      <c r="O164" s="101"/>
      <c r="P164" s="101" t="s">
        <v>41</v>
      </c>
      <c r="R164" s="100"/>
      <c r="AC164" s="96"/>
      <c r="AD164" s="20"/>
      <c r="AE164" s="20"/>
      <c r="AW164" s="11"/>
      <c r="AX164" s="11"/>
      <c r="BO164" s="122"/>
      <c r="BP164" s="122"/>
      <c r="BQ164" s="122"/>
      <c r="BR164" s="646"/>
      <c r="BS164" s="122"/>
      <c r="BT164" s="122"/>
      <c r="BU164" s="122"/>
      <c r="BV164" s="122"/>
      <c r="BW164" s="122"/>
      <c r="BX164" s="122"/>
      <c r="BY164" s="122"/>
      <c r="BZ164" s="122"/>
      <c r="CA164" s="122"/>
      <c r="DV164" s="357"/>
      <c r="DW164" s="357"/>
      <c r="DX164" s="11"/>
      <c r="DY164" s="357"/>
      <c r="DZ164" s="357"/>
      <c r="EA164" s="357"/>
      <c r="FV164" s="121"/>
      <c r="FW164" s="121"/>
      <c r="FX164" s="393"/>
      <c r="FY164" s="393"/>
      <c r="GI164" s="11">
        <v>420000</v>
      </c>
      <c r="GK164" s="411">
        <v>72532</v>
      </c>
      <c r="GL164" s="11">
        <v>72532</v>
      </c>
      <c r="GM164" s="40">
        <f t="shared" si="505"/>
        <v>492532</v>
      </c>
      <c r="GP164" s="50">
        <f>SUBTOTAL(9,GP165:GP166)</f>
        <v>6045000</v>
      </c>
      <c r="GQ164" s="50"/>
      <c r="GR164" s="50">
        <f>SUBTOTAL(9,GR165:GR166)</f>
        <v>366</v>
      </c>
      <c r="GS164" s="175">
        <f t="shared" si="506"/>
        <v>16516.39344262295</v>
      </c>
      <c r="GT164" s="175">
        <f>376*GS165</f>
        <v>5925458.1939799329</v>
      </c>
    </row>
    <row r="165" spans="1:220">
      <c r="O165" s="97"/>
      <c r="P165" s="97" t="e">
        <f>SUMPRODUCT((Ville=A244)*(#REF!))</f>
        <v>#REF!</v>
      </c>
      <c r="R165" s="100"/>
      <c r="AC165" s="96"/>
      <c r="AD165" s="20"/>
      <c r="AE165" s="20"/>
      <c r="AW165" s="11"/>
      <c r="AX165" s="11"/>
      <c r="BO165" s="122"/>
      <c r="BP165" s="122"/>
      <c r="BQ165" s="122"/>
      <c r="BR165" s="646"/>
      <c r="BS165" s="122"/>
      <c r="BT165" s="122"/>
      <c r="BU165" s="122"/>
      <c r="BV165" s="122"/>
      <c r="BW165" s="122"/>
      <c r="BX165" s="122"/>
      <c r="BY165" s="122"/>
      <c r="BZ165" s="122"/>
      <c r="CA165" s="122"/>
      <c r="CF165" s="481"/>
      <c r="CG165" s="480"/>
      <c r="CH165" s="481"/>
      <c r="DV165" s="357"/>
      <c r="DW165" s="357"/>
      <c r="DX165" s="11"/>
      <c r="DY165" s="357"/>
      <c r="DZ165" s="357"/>
      <c r="EA165" s="357"/>
      <c r="FV165" s="121"/>
      <c r="FW165" s="121"/>
      <c r="FX165" s="393"/>
      <c r="FY165" s="393"/>
      <c r="GI165" s="11">
        <v>945000</v>
      </c>
      <c r="GK165" s="411">
        <v>160313</v>
      </c>
      <c r="GL165" s="11">
        <v>160313</v>
      </c>
      <c r="GM165" s="40">
        <f t="shared" si="505"/>
        <v>1105313</v>
      </c>
      <c r="GP165" s="98">
        <v>4712000</v>
      </c>
      <c r="GQ165" s="98"/>
      <c r="GR165" s="11">
        <v>299</v>
      </c>
      <c r="GS165" s="176">
        <f t="shared" si="506"/>
        <v>15759.197324414716</v>
      </c>
      <c r="GT165" s="11"/>
    </row>
    <row r="166" spans="1:220">
      <c r="O166" s="97"/>
      <c r="P166" s="97" t="e">
        <f>SUMPRODUCT((Ville=A245)*(#REF!))</f>
        <v>#REF!</v>
      </c>
      <c r="AC166" s="96"/>
      <c r="AD166" s="20"/>
      <c r="AE166" s="20"/>
      <c r="AW166" s="11"/>
      <c r="AX166" s="11"/>
      <c r="BO166" s="122"/>
      <c r="BP166" s="122"/>
      <c r="BQ166" s="122"/>
      <c r="BR166" s="646"/>
      <c r="BS166" s="122"/>
      <c r="BT166" s="122"/>
      <c r="BU166" s="122"/>
      <c r="BV166" s="122"/>
      <c r="BW166" s="122"/>
      <c r="BX166" s="122"/>
      <c r="BY166" s="122"/>
      <c r="BZ166" s="122"/>
      <c r="CA166" s="122"/>
      <c r="DV166" s="357"/>
      <c r="DW166" s="357"/>
      <c r="DX166" s="11"/>
      <c r="DY166" s="357"/>
      <c r="DZ166" s="357"/>
      <c r="EA166" s="357"/>
      <c r="FV166" s="121"/>
      <c r="FW166" s="121"/>
      <c r="FX166" s="393"/>
      <c r="FY166" s="393"/>
      <c r="GI166" s="11">
        <v>442750</v>
      </c>
      <c r="GK166" s="411">
        <v>14424</v>
      </c>
      <c r="GL166" s="11">
        <v>14424</v>
      </c>
      <c r="GM166" s="40">
        <f t="shared" si="505"/>
        <v>457174</v>
      </c>
      <c r="GP166" s="98">
        <v>1333000</v>
      </c>
      <c r="GQ166" s="98"/>
      <c r="GR166" s="11">
        <v>67</v>
      </c>
      <c r="GS166" s="176">
        <f t="shared" si="506"/>
        <v>19895.5223880597</v>
      </c>
      <c r="GT166" s="11"/>
    </row>
    <row r="167" spans="1:220" ht="28.5" customHeight="1">
      <c r="O167" s="97"/>
      <c r="P167" s="97" t="e">
        <f>SUMPRODUCT((Ville=A246)*(#REF!))</f>
        <v>#REF!</v>
      </c>
      <c r="AC167" s="96"/>
      <c r="AD167" s="20"/>
      <c r="AE167" s="20"/>
      <c r="AF167" s="11">
        <f>160000*33</f>
        <v>5280000</v>
      </c>
      <c r="AW167" s="11"/>
      <c r="AX167" s="11"/>
      <c r="BO167" s="122"/>
      <c r="BP167" s="122"/>
      <c r="BQ167" s="122"/>
      <c r="BR167" s="646"/>
      <c r="BS167" s="122"/>
      <c r="BT167" s="122"/>
      <c r="BU167" s="122"/>
      <c r="BV167" s="122"/>
      <c r="BW167" s="122"/>
      <c r="BX167" s="122"/>
      <c r="BY167" s="122"/>
      <c r="BZ167" s="122"/>
      <c r="CA167" s="122"/>
      <c r="DV167" s="357"/>
      <c r="DW167" s="357"/>
      <c r="DX167" s="11"/>
      <c r="DY167" s="357"/>
      <c r="DZ167" s="357"/>
      <c r="EA167" s="357"/>
      <c r="FV167" s="121"/>
      <c r="FW167" s="121"/>
      <c r="FX167" s="393"/>
      <c r="FY167" s="393"/>
      <c r="GJ167" s="11">
        <v>1227844</v>
      </c>
      <c r="GK167" s="411">
        <v>1227844</v>
      </c>
      <c r="GL167" s="11">
        <v>1227844</v>
      </c>
      <c r="GM167" s="40">
        <f t="shared" si="505"/>
        <v>2455688</v>
      </c>
      <c r="GP167" s="50">
        <f>SUBTOTAL(9,GP168:GP169)</f>
        <v>5000000</v>
      </c>
      <c r="GQ167" s="50"/>
      <c r="GR167" s="21">
        <f>SUBTOTAL(9,GR168:GR169)</f>
        <v>298</v>
      </c>
      <c r="GS167" s="175">
        <f t="shared" si="506"/>
        <v>16778.523489932886</v>
      </c>
      <c r="GT167" s="11"/>
    </row>
    <row r="168" spans="1:220">
      <c r="O168" s="97"/>
      <c r="P168" s="97" t="e">
        <f>SUMPRODUCT((Ville=A247)*(#REF!))</f>
        <v>#REF!</v>
      </c>
      <c r="Q168" s="97"/>
      <c r="AC168" s="96"/>
      <c r="AD168" s="20"/>
      <c r="AE168" s="20"/>
      <c r="AW168" s="11"/>
      <c r="AX168" s="11"/>
      <c r="BO168" s="122"/>
      <c r="BP168" s="122"/>
      <c r="BQ168" s="122"/>
      <c r="BR168" s="646"/>
      <c r="BS168" s="122"/>
      <c r="BT168" s="122"/>
      <c r="BU168" s="122"/>
      <c r="BV168" s="122"/>
      <c r="BW168" s="122"/>
      <c r="BX168" s="122"/>
      <c r="BY168" s="122"/>
      <c r="BZ168" s="122"/>
      <c r="CA168" s="122"/>
      <c r="DV168" s="357"/>
      <c r="DW168" s="357"/>
      <c r="DX168" s="11"/>
      <c r="DY168" s="357"/>
      <c r="DZ168" s="357"/>
      <c r="EA168" s="357"/>
      <c r="EC168" s="157"/>
      <c r="EF168" s="157"/>
      <c r="GJ168" s="11">
        <v>655125</v>
      </c>
      <c r="GK168" s="411">
        <v>655125</v>
      </c>
      <c r="GL168" s="11">
        <v>655125</v>
      </c>
      <c r="GM168" s="40">
        <f t="shared" si="505"/>
        <v>1310250</v>
      </c>
      <c r="GP168" s="98">
        <v>5000000</v>
      </c>
      <c r="GQ168" s="98"/>
      <c r="GR168" s="11">
        <v>298</v>
      </c>
      <c r="GS168" s="176">
        <f t="shared" si="506"/>
        <v>16778.523489932886</v>
      </c>
      <c r="GT168" s="11">
        <v>298</v>
      </c>
    </row>
    <row r="169" spans="1:220">
      <c r="O169" s="97"/>
      <c r="P169" s="97"/>
      <c r="Q169" s="97"/>
      <c r="AC169" s="96"/>
      <c r="AD169" s="20"/>
      <c r="AE169" s="20"/>
      <c r="AW169" s="11"/>
      <c r="AX169" s="11"/>
      <c r="BO169" s="122"/>
      <c r="BP169" s="122"/>
      <c r="BQ169" s="122"/>
      <c r="BR169" s="646"/>
      <c r="BS169" s="122"/>
      <c r="BT169" s="122"/>
      <c r="BU169" s="122"/>
      <c r="BV169" s="122"/>
      <c r="BW169" s="122"/>
      <c r="BX169" s="122"/>
      <c r="BY169" s="122"/>
      <c r="BZ169" s="122"/>
      <c r="CA169" s="122"/>
      <c r="DV169" s="357"/>
      <c r="DW169" s="357"/>
      <c r="DX169" s="11"/>
      <c r="DY169" s="357"/>
      <c r="DZ169" s="357"/>
      <c r="EA169" s="357"/>
      <c r="GI169" s="11">
        <v>1100000</v>
      </c>
      <c r="GK169" s="411">
        <v>0</v>
      </c>
      <c r="GL169" s="11">
        <v>0</v>
      </c>
      <c r="GM169" s="40">
        <f t="shared" si="505"/>
        <v>1100000</v>
      </c>
      <c r="GP169" s="11"/>
      <c r="GQ169" s="11"/>
      <c r="GR169" s="11"/>
      <c r="GS169" s="11"/>
      <c r="GT169" s="11"/>
    </row>
    <row r="170" spans="1:220">
      <c r="O170" s="97"/>
      <c r="P170" s="97"/>
      <c r="Q170" s="97"/>
      <c r="AC170" s="96"/>
      <c r="AD170" s="20"/>
      <c r="AE170" s="20"/>
      <c r="AW170" s="11"/>
      <c r="AX170" s="11"/>
      <c r="BO170" s="122"/>
      <c r="BP170" s="122"/>
      <c r="BQ170" s="122"/>
      <c r="BR170" s="646"/>
      <c r="BS170" s="122"/>
      <c r="BT170" s="122"/>
      <c r="BU170" s="122"/>
      <c r="BV170" s="122"/>
      <c r="BW170" s="122"/>
      <c r="BX170" s="122"/>
      <c r="BY170" s="122"/>
      <c r="BZ170" s="122"/>
      <c r="CA170" s="122"/>
      <c r="DV170" s="357"/>
      <c r="DW170" s="357"/>
      <c r="DX170" s="11"/>
      <c r="DY170" s="357"/>
      <c r="DZ170" s="357"/>
      <c r="EA170" s="357"/>
      <c r="GM170" s="11"/>
      <c r="GN170" s="11"/>
      <c r="GO170" s="11"/>
      <c r="GP170" s="203"/>
      <c r="GQ170" s="203"/>
      <c r="GR170" s="11"/>
      <c r="GS170" s="11"/>
      <c r="GT170" s="11"/>
    </row>
    <row r="171" spans="1:220">
      <c r="O171" s="97"/>
      <c r="P171" s="97"/>
      <c r="Q171" s="97"/>
      <c r="AC171" s="96"/>
      <c r="AD171" s="828">
        <f>SUBTOTAL(9,AD11:AD151)</f>
        <v>4031</v>
      </c>
      <c r="AE171" s="20"/>
      <c r="AW171" s="11"/>
      <c r="AX171" s="11"/>
      <c r="BO171" s="122"/>
      <c r="BP171" s="122"/>
      <c r="BQ171" s="122"/>
      <c r="BR171" s="646"/>
      <c r="BS171" s="122"/>
      <c r="BT171" s="122"/>
      <c r="BU171" s="122"/>
      <c r="BV171" s="122"/>
      <c r="BW171" s="122"/>
      <c r="BX171" s="122"/>
      <c r="BY171" s="122"/>
      <c r="BZ171" s="122"/>
      <c r="CA171" s="122"/>
      <c r="DV171" s="357"/>
      <c r="DW171" s="357"/>
      <c r="DX171" s="11"/>
      <c r="DY171" s="357"/>
      <c r="DZ171" s="357"/>
      <c r="EA171" s="357"/>
      <c r="GM171" s="11"/>
      <c r="GN171" s="11"/>
      <c r="GO171" s="11"/>
      <c r="GP171" s="203"/>
      <c r="GQ171" s="203"/>
      <c r="GR171" s="11"/>
      <c r="GS171" s="11"/>
      <c r="GT171" s="11"/>
    </row>
    <row r="172" spans="1:220" ht="15" thickBot="1">
      <c r="O172" s="97"/>
      <c r="P172" s="97" t="e">
        <f>SUMPRODUCT((Ville=A248)*(#REF!))</f>
        <v>#REF!</v>
      </c>
      <c r="Q172" s="97"/>
      <c r="AC172" s="96"/>
      <c r="AD172" s="828"/>
      <c r="AE172" s="20"/>
      <c r="AF172" s="480"/>
      <c r="AW172" s="11"/>
      <c r="AX172" s="11"/>
      <c r="BO172" s="122"/>
      <c r="BP172" s="122"/>
      <c r="BQ172" s="122"/>
      <c r="BR172" s="646"/>
      <c r="BS172" s="122"/>
      <c r="BT172" s="122"/>
      <c r="BU172" s="122"/>
      <c r="BV172" s="122"/>
      <c r="BW172" s="122"/>
      <c r="BX172" s="122"/>
      <c r="BY172" s="122"/>
      <c r="BZ172" s="122"/>
      <c r="CA172" s="122"/>
      <c r="DV172" s="357"/>
      <c r="DW172" s="357"/>
      <c r="DX172" s="11"/>
      <c r="DY172" s="357"/>
      <c r="DZ172" s="357"/>
      <c r="EA172" s="357"/>
      <c r="GM172" s="11"/>
      <c r="GN172" s="11"/>
      <c r="GO172" s="11"/>
      <c r="GP172" s="200"/>
      <c r="GQ172" s="200"/>
      <c r="GR172" s="11"/>
      <c r="GS172" s="11"/>
      <c r="GT172" s="11" t="s">
        <v>386</v>
      </c>
      <c r="GV172" s="11" t="s">
        <v>387</v>
      </c>
    </row>
    <row r="173" spans="1:220" ht="15" thickBot="1">
      <c r="B173" s="185"/>
      <c r="C173" s="242" t="s">
        <v>143</v>
      </c>
      <c r="D173" s="242" t="s">
        <v>606</v>
      </c>
      <c r="E173" s="242" t="s">
        <v>464</v>
      </c>
      <c r="F173" s="243" t="s">
        <v>605</v>
      </c>
      <c r="G173" s="243" t="s">
        <v>142</v>
      </c>
      <c r="H173" s="243" t="s">
        <v>141</v>
      </c>
      <c r="I173" s="243" t="s">
        <v>337</v>
      </c>
      <c r="O173" s="97"/>
      <c r="P173" s="97" t="e">
        <f>SUMPRODUCT((Ville=A249)*(#REF!))</f>
        <v>#REF!</v>
      </c>
      <c r="Q173" s="97"/>
      <c r="AC173" s="96"/>
      <c r="AD173" s="20"/>
      <c r="AE173" s="20"/>
      <c r="AW173" s="11"/>
      <c r="AX173" s="11"/>
      <c r="BO173" s="122"/>
      <c r="BP173" s="122"/>
      <c r="BQ173" s="122"/>
      <c r="BR173" s="646"/>
      <c r="BS173" s="122"/>
      <c r="BT173" s="122"/>
      <c r="BU173" s="122"/>
      <c r="BV173" s="122"/>
      <c r="BW173" s="122"/>
      <c r="BX173" s="122"/>
      <c r="BY173" s="122"/>
      <c r="BZ173" s="122"/>
      <c r="CA173" s="122"/>
      <c r="DV173" s="357"/>
      <c r="DW173" s="357"/>
      <c r="DX173" s="11"/>
      <c r="DY173" s="357"/>
      <c r="DZ173" s="357"/>
      <c r="EA173" s="357"/>
      <c r="GG173" s="85"/>
      <c r="GH173" s="85"/>
      <c r="GI173" s="26"/>
      <c r="GJ173" s="26"/>
      <c r="GK173" s="411" t="s">
        <v>375</v>
      </c>
      <c r="GL173" s="85"/>
      <c r="GM173" s="85"/>
      <c r="GN173" s="85"/>
      <c r="GO173" s="85"/>
      <c r="GP173" s="98" t="e">
        <f>SUMPRODUCT((Prog=2017)*(Type&lt;&gt;"Rehab")*(Type&lt;&gt;"PLS")*(LBU))</f>
        <v>#REF!</v>
      </c>
      <c r="GQ173" s="98"/>
      <c r="GR173" s="85"/>
      <c r="GS173" s="176" t="e">
        <f>GP173/#REF!</f>
        <v>#REF!</v>
      </c>
      <c r="GT173" s="98" t="e">
        <f>GP173-#REF!-#REF!-#REF!-#REF!</f>
        <v>#REF!</v>
      </c>
      <c r="GV173" s="11" t="s">
        <v>385</v>
      </c>
    </row>
    <row r="174" spans="1:220">
      <c r="B174" s="241"/>
      <c r="C174" s="248">
        <f>SUMPRODUCT((RO="ADE")*(Ass=$C$173)*(Avancement&lt;&gt;"patrimoine")*(Avancement&lt;&gt;"stand by"))</f>
        <v>0</v>
      </c>
      <c r="D174" s="248">
        <f t="shared" ref="D174:D181" si="507">SUMPRODUCT((RO=B174)*(Ass=$D$173)*(Avancement&lt;&gt;"patrimoine")*(Avancement&lt;&gt;"stand by"))</f>
        <v>1</v>
      </c>
      <c r="E174" s="248">
        <f t="shared" ref="E174:E181" si="508">SUMPRODUCT((RO=B174)*(Ass=$E$173)*(Avancement&lt;&gt;"patrimoine")*(Avancement&lt;&gt;"stand by"))</f>
        <v>0</v>
      </c>
      <c r="F174" s="248">
        <f t="shared" ref="F174:F181" si="509">SUMPRODUCT((RO=B174)*(Ass=$F$173)*(Avancement&lt;&gt;"patrimoine")*(Avancement&lt;&gt;"stand by"))</f>
        <v>0</v>
      </c>
      <c r="G174" s="249">
        <f t="shared" ref="G174:G181" si="510">SUMPRODUCT((RO=B174)*(Ass=$G$173)*(Avancement&lt;&gt;"patrimoine")*(Avancement&lt;&gt;"stand by"))</f>
        <v>0</v>
      </c>
      <c r="H174" s="248">
        <f t="shared" ref="H174:H181" si="511">SUMPRODUCT((RO=B174)*(Ass=$H$173)*(Avancement&lt;&gt;"patrimoine")*(Avancement&lt;&gt;"stand by"))</f>
        <v>0</v>
      </c>
      <c r="I174" s="248">
        <f t="shared" ref="I174:I181" si="512">SUMPRODUCT((RO=B174)*(Ass=$I$173)*(Avancement&lt;&gt;"patrimoine")*(Avancement&lt;&gt;"stand by"))</f>
        <v>0</v>
      </c>
      <c r="O174" s="97"/>
      <c r="P174" s="97" t="e">
        <f>SUMPRODUCT((Ville=A250)*(#REF!))</f>
        <v>#REF!</v>
      </c>
      <c r="Q174" s="97"/>
      <c r="AC174" s="96"/>
      <c r="AD174" s="20"/>
      <c r="AE174" s="20"/>
      <c r="AW174" s="11"/>
      <c r="AX174" s="11"/>
      <c r="BO174" s="122"/>
      <c r="BP174" s="122"/>
      <c r="BQ174" s="122"/>
      <c r="BR174" s="646"/>
      <c r="BS174" s="122"/>
      <c r="BT174" s="122"/>
      <c r="BU174" s="122"/>
      <c r="BV174" s="122"/>
      <c r="BW174" s="122"/>
      <c r="BX174" s="122"/>
      <c r="BY174" s="122"/>
      <c r="BZ174" s="122"/>
      <c r="CA174" s="122"/>
      <c r="DV174" s="357"/>
      <c r="DW174" s="357"/>
      <c r="DX174" s="11"/>
      <c r="DY174" s="357"/>
      <c r="DZ174" s="357"/>
      <c r="EA174" s="357"/>
      <c r="GG174" s="102"/>
      <c r="GH174" s="835">
        <f>GH32+GH53+GL53</f>
        <v>0</v>
      </c>
      <c r="GK174" s="377" t="s">
        <v>308</v>
      </c>
      <c r="GL174" s="85"/>
      <c r="GM174" s="85"/>
      <c r="GN174" s="85"/>
      <c r="GO174" s="85"/>
      <c r="GP174" s="98" t="e">
        <f>SUMPRODUCT((Prog=2017)*(Type="Rehab")*(LBU))</f>
        <v>#REF!</v>
      </c>
      <c r="GQ174" s="98"/>
      <c r="GR174" s="85"/>
      <c r="GS174" s="176" t="e">
        <f>GP174/#REF!</f>
        <v>#REF!</v>
      </c>
      <c r="GT174" s="11"/>
    </row>
    <row r="175" spans="1:220">
      <c r="B175" s="246" t="s">
        <v>117</v>
      </c>
      <c r="C175" s="562">
        <f t="shared" ref="C175:C181" si="513">SUMPRODUCT((RO=B175)*(Ass=$C$173)*(Avancement&lt;&gt;"patrimoine")*(Avancement&lt;&gt;"stand by"))</f>
        <v>1</v>
      </c>
      <c r="D175" s="249">
        <f t="shared" si="507"/>
        <v>0</v>
      </c>
      <c r="E175" s="249">
        <f t="shared" si="508"/>
        <v>0</v>
      </c>
      <c r="F175" s="249">
        <f t="shared" si="509"/>
        <v>0</v>
      </c>
      <c r="G175" s="249">
        <f t="shared" si="510"/>
        <v>0</v>
      </c>
      <c r="H175" s="249">
        <f t="shared" si="511"/>
        <v>2</v>
      </c>
      <c r="I175" s="249">
        <f t="shared" si="512"/>
        <v>0</v>
      </c>
      <c r="O175" s="97"/>
      <c r="P175" s="97" t="e">
        <f>SUMPRODUCT((Ville=A251)*(#REF!))</f>
        <v>#REF!</v>
      </c>
      <c r="Q175" s="97"/>
      <c r="AC175" s="96"/>
      <c r="AD175" s="20"/>
      <c r="AE175" s="20"/>
      <c r="AW175" s="11"/>
      <c r="AX175" s="11"/>
      <c r="BO175" s="122"/>
      <c r="BP175" s="122"/>
      <c r="BQ175" s="122"/>
      <c r="BR175" s="646"/>
      <c r="BS175" s="122"/>
      <c r="BT175" s="122"/>
      <c r="BU175" s="122"/>
      <c r="BV175" s="122"/>
      <c r="BW175" s="122"/>
      <c r="BX175" s="122"/>
      <c r="BY175" s="122"/>
      <c r="BZ175" s="122"/>
      <c r="CA175" s="122"/>
      <c r="DV175" s="357"/>
      <c r="DW175" s="357"/>
      <c r="DX175" s="11"/>
      <c r="DY175" s="357"/>
      <c r="DZ175" s="357"/>
      <c r="EA175" s="357"/>
      <c r="GG175" s="102"/>
      <c r="GH175" s="103"/>
      <c r="GK175" s="377"/>
      <c r="GL175" s="85"/>
      <c r="GM175" s="85"/>
      <c r="GN175" s="85"/>
      <c r="GO175" s="85"/>
      <c r="GP175" s="98"/>
      <c r="GQ175" s="98"/>
      <c r="GR175" s="85"/>
      <c r="GS175" s="176"/>
      <c r="GT175" s="11"/>
    </row>
    <row r="176" spans="1:220">
      <c r="B176" s="246" t="s">
        <v>709</v>
      </c>
      <c r="C176" s="249">
        <f t="shared" si="513"/>
        <v>0</v>
      </c>
      <c r="D176" s="249">
        <f t="shared" si="507"/>
        <v>1</v>
      </c>
      <c r="E176" s="249">
        <f t="shared" si="508"/>
        <v>2</v>
      </c>
      <c r="F176" s="249">
        <f t="shared" si="509"/>
        <v>1</v>
      </c>
      <c r="G176" s="249">
        <f t="shared" si="510"/>
        <v>0</v>
      </c>
      <c r="H176" s="249">
        <f t="shared" si="511"/>
        <v>0</v>
      </c>
      <c r="I176" s="249">
        <f t="shared" si="512"/>
        <v>2</v>
      </c>
      <c r="O176" s="97"/>
      <c r="P176" s="97" t="e">
        <f>SUMPRODUCT((Ville=A252)*(#REF!))</f>
        <v>#REF!</v>
      </c>
      <c r="Q176" s="97"/>
      <c r="AC176" s="96"/>
      <c r="AD176" s="20"/>
      <c r="AE176" s="20"/>
      <c r="AW176" s="11"/>
      <c r="AX176" s="11"/>
      <c r="BO176" s="122"/>
      <c r="BP176" s="122"/>
      <c r="BQ176" s="122"/>
      <c r="BR176" s="646"/>
      <c r="BS176" s="122"/>
      <c r="BT176" s="122"/>
      <c r="BU176" s="122"/>
      <c r="BV176" s="122"/>
      <c r="BW176" s="122"/>
      <c r="BX176" s="122"/>
      <c r="BY176" s="122"/>
      <c r="BZ176" s="122"/>
      <c r="CA176" s="122"/>
      <c r="DV176" s="357"/>
      <c r="DW176" s="357"/>
      <c r="DX176" s="11"/>
      <c r="DY176" s="357"/>
      <c r="DZ176" s="357"/>
      <c r="EA176" s="357"/>
      <c r="GG176" s="104"/>
      <c r="GH176" s="103"/>
      <c r="GI176" s="85"/>
      <c r="GJ176" s="85"/>
      <c r="GK176" s="377" t="s">
        <v>301</v>
      </c>
      <c r="GL176" s="85"/>
      <c r="GM176" s="85"/>
      <c r="GN176" s="85"/>
      <c r="GO176" s="85"/>
      <c r="GP176" s="98"/>
      <c r="GQ176" s="98"/>
      <c r="GR176" s="85"/>
      <c r="GS176" s="176" t="e">
        <f>GP176/#REF!</f>
        <v>#REF!</v>
      </c>
      <c r="GT176" s="11"/>
    </row>
    <row r="177" spans="1:211">
      <c r="B177" s="246" t="s">
        <v>16</v>
      </c>
      <c r="C177" s="562">
        <f t="shared" si="513"/>
        <v>1</v>
      </c>
      <c r="D177" s="249">
        <f t="shared" si="507"/>
        <v>1</v>
      </c>
      <c r="E177" s="249">
        <f t="shared" si="508"/>
        <v>1</v>
      </c>
      <c r="F177" s="249">
        <f t="shared" si="509"/>
        <v>2</v>
      </c>
      <c r="G177" s="249">
        <f t="shared" si="510"/>
        <v>0</v>
      </c>
      <c r="H177" s="249">
        <f t="shared" si="511"/>
        <v>1</v>
      </c>
      <c r="I177" s="249">
        <f t="shared" si="512"/>
        <v>2</v>
      </c>
      <c r="O177" s="97"/>
      <c r="P177" s="97" t="e">
        <f>SUMPRODUCT((Ville=A253)*(#REF!))</f>
        <v>#REF!</v>
      </c>
      <c r="Q177" s="97"/>
      <c r="AC177" s="96"/>
      <c r="AD177" s="20"/>
      <c r="AE177" s="20"/>
      <c r="BH177" s="22"/>
      <c r="BI177" s="22"/>
      <c r="CR177" s="22"/>
      <c r="CX177" s="22"/>
      <c r="CY177" s="22"/>
      <c r="CZ177" s="22"/>
      <c r="DB177" s="158"/>
      <c r="DC177" s="22"/>
      <c r="DV177" s="357"/>
      <c r="DW177" s="357"/>
      <c r="DX177" s="11"/>
      <c r="DY177" s="357"/>
      <c r="DZ177" s="357"/>
      <c r="EA177" s="357"/>
      <c r="EB177" s="22"/>
      <c r="EC177" s="22"/>
      <c r="ED177" s="22"/>
      <c r="EE177" s="607"/>
      <c r="EF177" s="22"/>
      <c r="EG177" s="22"/>
      <c r="EH177" s="22"/>
      <c r="EI177" s="22"/>
      <c r="EJ177" s="22"/>
      <c r="EK177" s="22"/>
      <c r="EL177" s="22"/>
      <c r="EM177" s="229"/>
      <c r="EN177" s="22"/>
      <c r="EO177" s="22"/>
      <c r="EP177" s="22"/>
      <c r="EQ177" s="22"/>
      <c r="FC177" s="22"/>
      <c r="FD177" s="22"/>
      <c r="FE177" s="22"/>
      <c r="FF177" s="22"/>
      <c r="FG177" s="22"/>
      <c r="FH177" s="22"/>
      <c r="FI177" s="22"/>
      <c r="FJ177" s="22"/>
      <c r="FK177" s="22"/>
      <c r="FL177" s="22"/>
      <c r="FM177" s="22"/>
      <c r="FN177" s="22"/>
      <c r="FO177" s="22"/>
      <c r="FP177" s="22"/>
      <c r="FQ177" s="22"/>
      <c r="FR177" s="22"/>
      <c r="FS177" s="22"/>
      <c r="FT177" s="22"/>
      <c r="FU177" s="22"/>
      <c r="FV177" s="22"/>
      <c r="FW177" s="22"/>
      <c r="GM177" s="11"/>
      <c r="GN177" s="11"/>
      <c r="GO177" s="11"/>
      <c r="GP177" s="11"/>
      <c r="GQ177" s="11"/>
      <c r="GR177" s="104"/>
      <c r="GS177" s="103"/>
      <c r="GT177" s="103"/>
      <c r="GU177" s="85"/>
      <c r="GV177" s="85"/>
      <c r="GW177" s="85"/>
      <c r="GX177" s="85"/>
      <c r="GY177" s="85"/>
      <c r="GZ177" s="85"/>
      <c r="HA177" s="85"/>
      <c r="HB177" s="85"/>
      <c r="HC177" s="85"/>
    </row>
    <row r="178" spans="1:211">
      <c r="B178" s="246"/>
      <c r="C178" s="562">
        <f t="shared" si="513"/>
        <v>0</v>
      </c>
      <c r="D178" s="249">
        <f t="shared" si="507"/>
        <v>1</v>
      </c>
      <c r="E178" s="249">
        <f t="shared" si="508"/>
        <v>0</v>
      </c>
      <c r="F178" s="249">
        <f t="shared" si="509"/>
        <v>0</v>
      </c>
      <c r="G178" s="249">
        <f t="shared" si="510"/>
        <v>0</v>
      </c>
      <c r="H178" s="249">
        <f t="shared" si="511"/>
        <v>0</v>
      </c>
      <c r="I178" s="249">
        <f t="shared" si="512"/>
        <v>0</v>
      </c>
      <c r="DV178" s="357"/>
      <c r="DW178" s="357"/>
      <c r="DX178" s="11"/>
      <c r="DY178" s="357"/>
      <c r="DZ178" s="357"/>
      <c r="EA178" s="357"/>
      <c r="GM178" s="11"/>
      <c r="GN178" s="11"/>
      <c r="GO178" s="11"/>
      <c r="GP178" s="11"/>
      <c r="GQ178" s="11"/>
      <c r="GR178" s="104"/>
      <c r="GS178" s="103"/>
      <c r="GT178" s="103"/>
      <c r="GU178" s="85"/>
      <c r="GV178" s="85"/>
      <c r="GW178" s="85"/>
      <c r="GX178" s="85"/>
      <c r="GY178" s="85"/>
      <c r="GZ178" s="85"/>
      <c r="HA178" s="85"/>
      <c r="HB178" s="85"/>
      <c r="HC178" s="85"/>
    </row>
    <row r="179" spans="1:211">
      <c r="B179" s="246" t="s">
        <v>864</v>
      </c>
      <c r="C179" s="562">
        <f t="shared" si="513"/>
        <v>1</v>
      </c>
      <c r="D179" s="249">
        <f t="shared" si="507"/>
        <v>0</v>
      </c>
      <c r="E179" s="249">
        <f t="shared" si="508"/>
        <v>0</v>
      </c>
      <c r="F179" s="249">
        <f t="shared" si="509"/>
        <v>1</v>
      </c>
      <c r="G179" s="249">
        <f t="shared" si="510"/>
        <v>1</v>
      </c>
      <c r="H179" s="249">
        <f t="shared" si="511"/>
        <v>0</v>
      </c>
      <c r="I179" s="249">
        <f t="shared" si="512"/>
        <v>1</v>
      </c>
      <c r="DV179" s="357"/>
      <c r="DW179" s="357"/>
      <c r="DX179" s="11"/>
      <c r="DY179" s="357"/>
      <c r="DZ179" s="357"/>
      <c r="EA179" s="357"/>
      <c r="GM179" s="11"/>
      <c r="GN179" s="11"/>
      <c r="GO179" s="11"/>
      <c r="GP179" s="11"/>
      <c r="GQ179" s="11"/>
      <c r="GR179" s="104"/>
      <c r="GS179" s="103"/>
      <c r="GT179" s="103"/>
      <c r="GU179" s="85"/>
      <c r="GV179" s="85"/>
      <c r="GW179" s="85"/>
      <c r="GX179" s="85"/>
      <c r="GY179" s="85"/>
      <c r="GZ179" s="85"/>
      <c r="HA179" s="85"/>
      <c r="HB179" s="85"/>
      <c r="HC179" s="85"/>
    </row>
    <row r="180" spans="1:211" ht="15" thickBot="1">
      <c r="B180" s="246" t="s">
        <v>40</v>
      </c>
      <c r="C180" s="562">
        <f t="shared" si="513"/>
        <v>1</v>
      </c>
      <c r="D180" s="249">
        <f t="shared" si="507"/>
        <v>0</v>
      </c>
      <c r="E180" s="249">
        <f t="shared" si="508"/>
        <v>2</v>
      </c>
      <c r="F180" s="249">
        <f t="shared" si="509"/>
        <v>2</v>
      </c>
      <c r="G180" s="249">
        <f t="shared" si="510"/>
        <v>0</v>
      </c>
      <c r="H180" s="249">
        <f t="shared" si="511"/>
        <v>1</v>
      </c>
      <c r="I180" s="249">
        <f t="shared" si="512"/>
        <v>1</v>
      </c>
      <c r="O180" s="21">
        <v>2015</v>
      </c>
      <c r="P180" s="21"/>
      <c r="Q180" s="21"/>
      <c r="R180" s="21"/>
      <c r="S180" s="21"/>
      <c r="T180" s="21"/>
      <c r="U180" s="21"/>
      <c r="V180" s="21"/>
      <c r="W180" s="21"/>
      <c r="X180" s="21"/>
      <c r="Y180" s="21"/>
      <c r="AW180" s="11"/>
      <c r="AX180" s="11"/>
      <c r="BO180" s="122"/>
      <c r="DV180" s="357"/>
      <c r="DW180" s="357"/>
      <c r="DX180" s="11"/>
      <c r="DY180" s="357"/>
      <c r="DZ180" s="357"/>
      <c r="EA180" s="357"/>
      <c r="GE180" s="103"/>
      <c r="GF180" s="103"/>
      <c r="GG180" s="103"/>
      <c r="GH180" s="85"/>
      <c r="GI180" s="85"/>
      <c r="GJ180" s="85"/>
      <c r="GK180" s="377"/>
      <c r="GL180" s="85"/>
      <c r="GM180" s="85"/>
      <c r="GN180" s="85"/>
      <c r="GO180" s="85"/>
      <c r="GP180" s="85"/>
      <c r="GQ180" s="85"/>
      <c r="GR180" s="85"/>
      <c r="GS180" s="85"/>
      <c r="GT180" s="85"/>
    </row>
    <row r="181" spans="1:211" ht="15" thickBot="1">
      <c r="B181" s="244" t="s">
        <v>309</v>
      </c>
      <c r="C181" s="562">
        <f t="shared" si="513"/>
        <v>3</v>
      </c>
      <c r="D181" s="249">
        <f t="shared" si="507"/>
        <v>3</v>
      </c>
      <c r="E181" s="248">
        <f t="shared" si="508"/>
        <v>0</v>
      </c>
      <c r="F181" s="248">
        <f t="shared" si="509"/>
        <v>1</v>
      </c>
      <c r="G181" s="249">
        <f t="shared" si="510"/>
        <v>7</v>
      </c>
      <c r="H181" s="248">
        <f t="shared" si="511"/>
        <v>0</v>
      </c>
      <c r="I181" s="248">
        <f t="shared" si="512"/>
        <v>2</v>
      </c>
      <c r="K181" s="211"/>
      <c r="L181" s="136"/>
      <c r="M181" s="136"/>
      <c r="N181" s="136"/>
      <c r="O181" s="106" t="e">
        <f>SUMPRODUCT((Notaire=A257)*(Prog=$O$180))</f>
        <v>#REF!</v>
      </c>
      <c r="Z181" s="96"/>
      <c r="AA181" s="96"/>
      <c r="AB181" s="96"/>
      <c r="AW181" s="11"/>
      <c r="AX181" s="11"/>
      <c r="BO181" s="122"/>
      <c r="DV181" s="357"/>
      <c r="DW181" s="357"/>
      <c r="DX181" s="11"/>
      <c r="DY181" s="357"/>
      <c r="DZ181" s="357"/>
      <c r="EA181" s="357"/>
      <c r="GE181" s="103"/>
      <c r="GF181" s="103"/>
      <c r="GG181" s="103"/>
      <c r="GH181" s="85"/>
      <c r="GI181" s="85"/>
      <c r="GJ181" s="85"/>
      <c r="GK181" s="377"/>
      <c r="GL181" s="85"/>
      <c r="GM181" s="85"/>
      <c r="GN181" s="85"/>
      <c r="GO181" s="85"/>
      <c r="GP181" s="85"/>
      <c r="GQ181" s="85"/>
      <c r="GR181" s="85"/>
      <c r="GS181" s="85"/>
      <c r="GT181" s="85"/>
    </row>
    <row r="182" spans="1:211" ht="15" thickBot="1">
      <c r="A182" s="186" t="s">
        <v>603</v>
      </c>
      <c r="B182" s="186">
        <f>SUBTOTAL(9,C182:I182)</f>
        <v>46</v>
      </c>
      <c r="C182" s="245">
        <f t="shared" ref="C182:I182" si="514">SUM(C174:C181)</f>
        <v>7</v>
      </c>
      <c r="D182" s="245">
        <f t="shared" si="514"/>
        <v>7</v>
      </c>
      <c r="E182" s="245">
        <f t="shared" si="514"/>
        <v>5</v>
      </c>
      <c r="F182" s="245">
        <f t="shared" si="514"/>
        <v>7</v>
      </c>
      <c r="G182" s="245">
        <f t="shared" si="514"/>
        <v>8</v>
      </c>
      <c r="H182" s="245">
        <f t="shared" si="514"/>
        <v>4</v>
      </c>
      <c r="I182" s="245">
        <f t="shared" si="514"/>
        <v>8</v>
      </c>
      <c r="K182" s="211"/>
      <c r="L182" s="136"/>
      <c r="M182" s="136"/>
      <c r="N182" s="136"/>
      <c r="O182" s="107" t="e">
        <f>SUMPRODUCT((Notaire=A258)*(Prog=$O$180))</f>
        <v>#REF!</v>
      </c>
      <c r="Z182" s="96"/>
      <c r="AA182" s="96"/>
      <c r="AB182" s="96"/>
      <c r="AW182" s="11"/>
      <c r="AX182" s="11"/>
      <c r="BO182" s="122"/>
      <c r="DV182" s="357"/>
      <c r="DW182" s="357"/>
      <c r="DX182" s="11"/>
      <c r="DY182" s="357"/>
      <c r="DZ182" s="357"/>
      <c r="EA182" s="357"/>
      <c r="GE182" s="103"/>
      <c r="GF182" s="103"/>
      <c r="GG182" s="103"/>
      <c r="GH182" s="85"/>
      <c r="GI182" s="85"/>
      <c r="GJ182" s="85"/>
      <c r="GK182" s="377"/>
      <c r="GL182" s="85"/>
      <c r="GM182" s="85"/>
      <c r="GN182" s="85"/>
      <c r="GO182" s="85"/>
      <c r="GP182" s="85"/>
      <c r="GQ182" s="85"/>
      <c r="GR182" s="85"/>
      <c r="GS182" s="85"/>
      <c r="GT182" s="85"/>
    </row>
    <row r="183" spans="1:211" ht="15" thickBot="1">
      <c r="A183" s="186" t="s">
        <v>405</v>
      </c>
      <c r="B183" s="186">
        <f>SUBTOTAL(9,C183:I183)</f>
        <v>3</v>
      </c>
      <c r="C183" s="247">
        <v>2</v>
      </c>
      <c r="D183" s="186">
        <v>1</v>
      </c>
      <c r="E183" s="186"/>
      <c r="F183" s="186"/>
      <c r="G183" s="186"/>
      <c r="H183" s="186"/>
      <c r="I183" s="186"/>
      <c r="K183" s="211"/>
      <c r="L183" s="136"/>
      <c r="M183" s="136"/>
      <c r="N183" s="136"/>
      <c r="O183" s="107" t="e">
        <f>SUMPRODUCT((Notaire=A259)*(Prog=$O$180))</f>
        <v>#REF!</v>
      </c>
      <c r="Z183" s="96"/>
      <c r="AA183" s="96"/>
      <c r="AB183" s="96"/>
      <c r="AW183" s="11"/>
      <c r="AX183" s="11"/>
      <c r="BO183" s="122"/>
      <c r="DV183" s="357"/>
      <c r="DW183" s="357"/>
      <c r="DX183" s="11"/>
      <c r="DY183" s="357"/>
      <c r="DZ183" s="357"/>
      <c r="EA183" s="357"/>
      <c r="GE183" s="103"/>
      <c r="GF183" s="103"/>
      <c r="GG183" s="103"/>
      <c r="GH183" s="85"/>
      <c r="GI183" s="85"/>
      <c r="GJ183" s="85"/>
      <c r="GK183" s="377"/>
      <c r="GL183" s="85"/>
      <c r="GM183" s="85"/>
      <c r="GN183" s="85"/>
      <c r="GO183" s="85"/>
      <c r="GP183" s="85"/>
      <c r="GQ183" s="85"/>
      <c r="GR183" s="85"/>
      <c r="GS183" s="85"/>
      <c r="GT183" s="85"/>
    </row>
    <row r="184" spans="1:211" ht="15" thickBot="1">
      <c r="A184" s="242" t="s">
        <v>93</v>
      </c>
      <c r="B184" s="242">
        <f>SUBTOTAL(9,C184:I184)</f>
        <v>49</v>
      </c>
      <c r="C184" s="245">
        <f t="shared" ref="C184:I184" si="515">C182+C183</f>
        <v>9</v>
      </c>
      <c r="D184" s="242">
        <f t="shared" si="515"/>
        <v>8</v>
      </c>
      <c r="E184" s="242">
        <f t="shared" si="515"/>
        <v>5</v>
      </c>
      <c r="F184" s="242">
        <f t="shared" si="515"/>
        <v>7</v>
      </c>
      <c r="G184" s="242">
        <f t="shared" si="515"/>
        <v>8</v>
      </c>
      <c r="H184" s="242">
        <f t="shared" si="515"/>
        <v>4</v>
      </c>
      <c r="I184" s="242">
        <f t="shared" si="515"/>
        <v>8</v>
      </c>
      <c r="K184" s="211"/>
      <c r="L184" s="136"/>
      <c r="M184" s="136"/>
      <c r="N184" s="136"/>
      <c r="O184" s="107" t="e">
        <f>SUMPRODUCT((Notaire=A260)*(Prog=$O$180))</f>
        <v>#REF!</v>
      </c>
      <c r="Z184" s="96"/>
      <c r="AA184" s="96"/>
      <c r="AB184" s="96"/>
      <c r="AW184" s="11"/>
      <c r="AX184" s="11"/>
      <c r="BO184" s="122"/>
      <c r="DV184" s="357"/>
      <c r="DW184" s="357"/>
      <c r="DX184" s="11"/>
      <c r="DY184" s="357"/>
      <c r="DZ184" s="357"/>
      <c r="EA184" s="357"/>
      <c r="GE184" s="85"/>
      <c r="GF184" s="85"/>
      <c r="GG184" s="85"/>
      <c r="GH184" s="85"/>
      <c r="GI184" s="85"/>
      <c r="GJ184" s="85"/>
      <c r="GK184" s="377"/>
      <c r="GL184" s="85"/>
      <c r="GM184" s="85"/>
      <c r="GN184" s="85"/>
      <c r="GO184" s="85"/>
      <c r="GP184" s="85"/>
      <c r="GQ184" s="85"/>
      <c r="GR184" s="85"/>
      <c r="GS184" s="85"/>
      <c r="GT184" s="85"/>
    </row>
    <row r="185" spans="1:211">
      <c r="A185" s="785" t="s">
        <v>604</v>
      </c>
      <c r="C185" s="11">
        <v>1</v>
      </c>
      <c r="D185" s="11">
        <v>1</v>
      </c>
      <c r="E185" s="11">
        <v>1</v>
      </c>
      <c r="F185" s="11">
        <v>1</v>
      </c>
      <c r="G185" s="11">
        <v>0</v>
      </c>
      <c r="H185" s="11">
        <v>1</v>
      </c>
      <c r="I185" s="11">
        <v>1</v>
      </c>
      <c r="K185" s="211"/>
      <c r="L185" s="136"/>
      <c r="M185" s="136"/>
      <c r="N185" s="136"/>
      <c r="O185" s="107" t="e">
        <f>SUMPRODUCT((Notaire=A261)*(Prog=$O$180))</f>
        <v>#REF!</v>
      </c>
      <c r="Z185" s="96"/>
      <c r="AA185" s="96"/>
      <c r="AB185" s="96"/>
      <c r="DV185" s="357"/>
      <c r="DW185" s="357"/>
      <c r="DX185" s="11"/>
      <c r="DY185" s="357"/>
      <c r="DZ185" s="357"/>
      <c r="EA185" s="357"/>
      <c r="GM185" s="11"/>
      <c r="GN185" s="11"/>
      <c r="GO185" s="11"/>
      <c r="GP185" s="11"/>
      <c r="GQ185" s="11"/>
      <c r="GR185" s="11"/>
      <c r="GS185" s="11"/>
      <c r="GT185" s="11"/>
    </row>
    <row r="186" spans="1:211">
      <c r="K186" s="211"/>
      <c r="L186" s="136"/>
      <c r="M186" s="136"/>
      <c r="N186" s="136"/>
      <c r="O186" s="107"/>
      <c r="Z186" s="96"/>
      <c r="AA186" s="96"/>
      <c r="AB186" s="96"/>
      <c r="DV186" s="357"/>
      <c r="DW186" s="357"/>
      <c r="DX186" s="11"/>
      <c r="DY186" s="357"/>
      <c r="DZ186" s="357"/>
      <c r="EA186" s="357"/>
      <c r="GM186" s="11"/>
      <c r="GN186" s="11"/>
      <c r="GO186" s="11"/>
      <c r="GP186" s="11"/>
      <c r="GQ186" s="11"/>
      <c r="GR186" s="11"/>
      <c r="GS186" s="11"/>
      <c r="GT186" s="11"/>
    </row>
    <row r="187" spans="1:211">
      <c r="K187" s="211"/>
      <c r="L187" s="136"/>
      <c r="M187" s="136"/>
      <c r="N187" s="136"/>
      <c r="O187" s="107" t="e">
        <f>SUMPRODUCT((Notaire=A262)*(Prog=$O$180))</f>
        <v>#REF!</v>
      </c>
      <c r="Z187" s="96"/>
      <c r="AA187" s="96"/>
      <c r="AB187" s="96"/>
      <c r="DV187" s="357"/>
      <c r="DW187" s="357"/>
      <c r="DX187" s="11"/>
      <c r="DY187" s="357"/>
      <c r="DZ187" s="357"/>
      <c r="EA187" s="357"/>
      <c r="GM187" s="11"/>
      <c r="GN187" s="11"/>
      <c r="GO187" s="11"/>
      <c r="GP187" s="11"/>
      <c r="GQ187" s="11"/>
      <c r="GR187" s="11"/>
      <c r="GS187" s="11"/>
      <c r="GT187" s="11"/>
    </row>
    <row r="188" spans="1:211">
      <c r="B188" s="185"/>
      <c r="C188" s="491" t="s">
        <v>200</v>
      </c>
      <c r="D188" s="491" t="s">
        <v>6</v>
      </c>
      <c r="E188" s="491" t="s">
        <v>275</v>
      </c>
      <c r="O188" s="21" t="e">
        <f>SUM(O181:O187)</f>
        <v>#REF!</v>
      </c>
      <c r="P188" s="21"/>
      <c r="Q188" s="21"/>
      <c r="R188" s="21"/>
      <c r="S188" s="21"/>
      <c r="T188" s="21"/>
      <c r="U188" s="21"/>
      <c r="V188" s="21"/>
      <c r="W188" s="21"/>
      <c r="X188" s="21"/>
      <c r="Y188" s="21"/>
      <c r="Z188" s="21"/>
      <c r="AA188" s="21"/>
      <c r="AB188" s="21"/>
      <c r="AC188" s="21">
        <f>SUM(D257:D262)</f>
        <v>0</v>
      </c>
      <c r="AD188" s="21">
        <f>SUM(E257:E262)</f>
        <v>0</v>
      </c>
      <c r="AE188" s="21"/>
      <c r="DV188" s="357"/>
      <c r="DW188" s="357"/>
      <c r="DX188" s="11"/>
      <c r="DY188" s="357"/>
      <c r="DZ188" s="357"/>
      <c r="EA188" s="357"/>
      <c r="GM188" s="11"/>
      <c r="GN188" s="11"/>
      <c r="GO188" s="11"/>
      <c r="GP188" s="11"/>
      <c r="GQ188" s="11"/>
      <c r="GR188" s="11"/>
      <c r="GS188" s="11"/>
      <c r="GT188" s="11"/>
    </row>
    <row r="189" spans="1:211" ht="15">
      <c r="B189" s="188" t="s">
        <v>261</v>
      </c>
      <c r="C189" s="187" t="s">
        <v>274</v>
      </c>
      <c r="D189" s="187" t="s">
        <v>117</v>
      </c>
      <c r="E189" s="187" t="s">
        <v>143</v>
      </c>
      <c r="AR189" s="96"/>
      <c r="AS189" s="20"/>
      <c r="AW189" s="11"/>
      <c r="AX189" s="11"/>
      <c r="DV189" s="357"/>
      <c r="DW189" s="357"/>
      <c r="DX189" s="11"/>
      <c r="DY189" s="357"/>
      <c r="DZ189" s="357"/>
      <c r="EA189" s="357"/>
      <c r="GM189" s="11"/>
      <c r="GN189" s="11"/>
      <c r="GO189" s="11"/>
      <c r="GP189" s="11"/>
      <c r="GQ189" s="11"/>
      <c r="GR189" s="11"/>
      <c r="GS189" s="11"/>
      <c r="GT189" s="11"/>
    </row>
    <row r="190" spans="1:211" ht="15">
      <c r="B190" s="188" t="s">
        <v>260</v>
      </c>
      <c r="C190" s="187" t="s">
        <v>276</v>
      </c>
      <c r="D190" s="187" t="s">
        <v>117</v>
      </c>
      <c r="E190" s="187"/>
      <c r="AR190" s="96"/>
      <c r="AS190" s="20"/>
      <c r="AW190" s="11"/>
      <c r="AX190" s="11"/>
      <c r="DV190" s="357"/>
      <c r="DW190" s="357"/>
      <c r="DX190" s="11"/>
      <c r="DY190" s="357"/>
      <c r="DZ190" s="357"/>
      <c r="EA190" s="357"/>
      <c r="GM190" s="11"/>
      <c r="GN190" s="11"/>
      <c r="GO190" s="11"/>
      <c r="GP190" s="11"/>
      <c r="GQ190" s="11"/>
      <c r="GR190" s="11"/>
      <c r="GS190" s="11"/>
      <c r="GT190" s="11"/>
    </row>
    <row r="191" spans="1:211" ht="15">
      <c r="B191" s="188" t="s">
        <v>416</v>
      </c>
      <c r="C191" s="187" t="s">
        <v>184</v>
      </c>
      <c r="D191" s="187" t="s">
        <v>117</v>
      </c>
      <c r="E191" s="187"/>
      <c r="AR191" s="96"/>
      <c r="AS191" s="20"/>
      <c r="AW191" s="11"/>
      <c r="AX191" s="11"/>
      <c r="DV191" s="357"/>
      <c r="DW191" s="357"/>
      <c r="DX191" s="11"/>
      <c r="DY191" s="357"/>
      <c r="DZ191" s="357"/>
      <c r="EA191" s="357"/>
      <c r="GM191" s="11"/>
      <c r="GN191" s="11"/>
      <c r="GO191" s="11"/>
      <c r="GP191" s="11"/>
      <c r="GQ191" s="11"/>
      <c r="GR191" s="11"/>
      <c r="GS191" s="11"/>
      <c r="GT191" s="11"/>
    </row>
    <row r="192" spans="1:211" ht="15">
      <c r="B192" s="189" t="s">
        <v>601</v>
      </c>
      <c r="C192" s="187" t="s">
        <v>277</v>
      </c>
      <c r="D192" s="187" t="s">
        <v>117</v>
      </c>
      <c r="E192" s="187" t="s">
        <v>143</v>
      </c>
      <c r="AR192" s="96"/>
      <c r="AS192" s="20"/>
      <c r="AW192" s="11"/>
      <c r="AX192" s="11"/>
      <c r="DV192" s="357"/>
      <c r="DW192" s="357"/>
      <c r="DX192" s="11"/>
      <c r="DY192" s="357"/>
      <c r="DZ192" s="357"/>
      <c r="EA192" s="357"/>
      <c r="GM192" s="11"/>
      <c r="GN192" s="11"/>
      <c r="GO192" s="11"/>
      <c r="GP192" s="11"/>
      <c r="GQ192" s="11"/>
      <c r="GR192" s="11"/>
      <c r="GS192" s="11"/>
      <c r="GT192" s="11"/>
    </row>
    <row r="193" spans="2:202" ht="15">
      <c r="B193" s="189" t="s">
        <v>602</v>
      </c>
      <c r="C193" s="187" t="s">
        <v>277</v>
      </c>
      <c r="D193" s="187" t="s">
        <v>270</v>
      </c>
      <c r="E193" s="187"/>
      <c r="AR193" s="96"/>
      <c r="AS193" s="20"/>
      <c r="AW193" s="11"/>
      <c r="AX193" s="11"/>
      <c r="DV193" s="357"/>
      <c r="DW193" s="357"/>
      <c r="DX193" s="11"/>
      <c r="DY193" s="357"/>
      <c r="DZ193" s="357"/>
      <c r="EA193" s="357"/>
      <c r="GM193" s="11"/>
      <c r="GN193" s="11"/>
      <c r="GO193" s="11"/>
      <c r="GP193" s="11"/>
      <c r="GQ193" s="11"/>
      <c r="GR193" s="11"/>
      <c r="GS193" s="11"/>
      <c r="GT193" s="11"/>
    </row>
    <row r="194" spans="2:202">
      <c r="AR194" s="96"/>
      <c r="AS194" s="20"/>
      <c r="AW194" s="11"/>
      <c r="AX194" s="11"/>
      <c r="DV194" s="357"/>
      <c r="DW194" s="357"/>
      <c r="DX194" s="11"/>
      <c r="DY194" s="357"/>
      <c r="DZ194" s="357"/>
      <c r="EA194" s="357"/>
      <c r="GM194" s="11"/>
      <c r="GN194" s="11"/>
      <c r="GO194" s="11"/>
      <c r="GP194" s="11"/>
      <c r="GQ194" s="11"/>
      <c r="GR194" s="11"/>
      <c r="GS194" s="11"/>
      <c r="GT194" s="11"/>
    </row>
    <row r="195" spans="2:202">
      <c r="AR195" s="96"/>
      <c r="AS195" s="20"/>
      <c r="AW195" s="11"/>
      <c r="AX195" s="11"/>
      <c r="DV195" s="357"/>
      <c r="DW195" s="357"/>
      <c r="DX195" s="11"/>
      <c r="DY195" s="357"/>
      <c r="DZ195" s="357"/>
      <c r="EA195" s="357"/>
      <c r="GM195" s="11"/>
      <c r="GN195" s="11"/>
      <c r="GO195" s="11"/>
      <c r="GP195" s="11"/>
      <c r="GQ195" s="11"/>
      <c r="GR195" s="11"/>
      <c r="GS195" s="11"/>
      <c r="GT195" s="11"/>
    </row>
    <row r="196" spans="2:202" ht="29.25" customHeight="1">
      <c r="H196" s="217"/>
      <c r="I196" s="217"/>
      <c r="AR196" s="96"/>
      <c r="AS196" s="20"/>
      <c r="AW196" s="11"/>
      <c r="AX196" s="11"/>
      <c r="DV196" s="357"/>
      <c r="DW196" s="357"/>
      <c r="DX196" s="11"/>
      <c r="DY196" s="357"/>
      <c r="DZ196" s="357"/>
      <c r="EA196" s="357"/>
      <c r="GM196" s="11"/>
      <c r="GN196" s="11"/>
      <c r="GO196" s="11"/>
      <c r="GP196" s="11"/>
      <c r="GQ196" s="11"/>
      <c r="GR196" s="11"/>
      <c r="GS196" s="11"/>
      <c r="GT196" s="11"/>
    </row>
    <row r="197" spans="2:202" ht="30.75" customHeight="1">
      <c r="AR197" s="96"/>
      <c r="AS197" s="20"/>
      <c r="AW197" s="11"/>
      <c r="AX197" s="11"/>
      <c r="DV197" s="357"/>
      <c r="DW197" s="357"/>
      <c r="DX197" s="11"/>
      <c r="DY197" s="357"/>
      <c r="DZ197" s="357"/>
      <c r="EA197" s="357"/>
      <c r="GM197" s="11"/>
      <c r="GN197" s="11"/>
      <c r="GO197" s="11"/>
      <c r="GP197" s="11"/>
      <c r="GQ197" s="11"/>
      <c r="GR197" s="11"/>
      <c r="GS197" s="11"/>
      <c r="GT197" s="11"/>
    </row>
    <row r="198" spans="2:202" ht="18.600000000000001" thickBot="1">
      <c r="C198" s="859" t="s">
        <v>746</v>
      </c>
      <c r="D198" s="859"/>
      <c r="E198" s="859"/>
      <c r="F198" s="859"/>
      <c r="G198" s="859"/>
      <c r="H198" s="859"/>
      <c r="I198" s="859"/>
      <c r="J198" s="859"/>
      <c r="K198" s="859"/>
      <c r="L198" s="859"/>
      <c r="M198" s="859"/>
      <c r="N198" s="859"/>
      <c r="O198" s="859"/>
      <c r="AR198" s="96"/>
      <c r="AS198" s="20"/>
      <c r="AW198" s="11"/>
      <c r="AX198" s="11"/>
      <c r="DV198" s="357"/>
      <c r="DW198" s="357"/>
      <c r="DX198" s="11"/>
      <c r="DY198" s="357"/>
      <c r="DZ198" s="357"/>
      <c r="EA198" s="357"/>
      <c r="GM198" s="11"/>
      <c r="GN198" s="11"/>
      <c r="GO198" s="11"/>
      <c r="GP198" s="11"/>
      <c r="GQ198" s="11"/>
      <c r="GR198" s="11"/>
      <c r="GS198" s="11"/>
      <c r="GT198" s="11"/>
    </row>
    <row r="199" spans="2:202" ht="16.2" thickBot="1">
      <c r="C199" s="860" t="s">
        <v>406</v>
      </c>
      <c r="D199" s="861"/>
      <c r="E199" s="870" t="s">
        <v>407</v>
      </c>
      <c r="F199" s="871"/>
      <c r="G199" s="868" t="s">
        <v>194</v>
      </c>
      <c r="H199" s="869"/>
      <c r="I199" s="866" t="s">
        <v>193</v>
      </c>
      <c r="J199" s="867"/>
      <c r="K199" s="864" t="s">
        <v>137</v>
      </c>
      <c r="L199" s="865"/>
      <c r="M199" s="862" t="s">
        <v>408</v>
      </c>
      <c r="N199" s="863"/>
      <c r="O199" s="18" t="s">
        <v>715</v>
      </c>
      <c r="AR199" s="96"/>
      <c r="AS199" s="20"/>
      <c r="AW199" s="11"/>
      <c r="AX199" s="11"/>
      <c r="DV199" s="357"/>
      <c r="DW199" s="357"/>
      <c r="DX199" s="11"/>
      <c r="DY199" s="357"/>
      <c r="DZ199" s="357"/>
      <c r="EA199" s="357"/>
      <c r="GM199" s="11"/>
      <c r="GN199" s="11"/>
      <c r="GO199" s="11"/>
      <c r="GP199" s="11"/>
      <c r="GQ199" s="11"/>
      <c r="GR199" s="11"/>
      <c r="GS199" s="11"/>
      <c r="GT199" s="11"/>
    </row>
    <row r="200" spans="2:202">
      <c r="B200" s="264" t="s">
        <v>143</v>
      </c>
      <c r="C200" s="250">
        <f t="shared" ref="C200:C206" si="516">SUMPRODUCT((Ass=B200)*((Avancement="Faisa")+(Avancement="ESQ")+(Avancement="APS")+(Avancement="PC")+(Avancement="APD")))</f>
        <v>2</v>
      </c>
      <c r="D200" s="254">
        <f t="shared" ref="D200:D206" si="517">C200/$C$207</f>
        <v>0.2</v>
      </c>
      <c r="E200" s="563">
        <f t="shared" ref="E200:E206" si="518">SUMPRODUCT((Ass=B200)*((Avancement="PRO")+(Avancement="DCE")+(Avancement="AO")))</f>
        <v>3</v>
      </c>
      <c r="F200" s="254">
        <f t="shared" ref="F200:F206" si="519">E200/$E$207</f>
        <v>0.23076923076923078</v>
      </c>
      <c r="G200" s="250">
        <f t="shared" ref="G200:G206" si="520">SUMPRODUCT((Ass=B200)*((Avancement="OS")))</f>
        <v>0</v>
      </c>
      <c r="H200" s="254" t="e">
        <f t="shared" ref="H200:H206" si="521">G200/$G$207</f>
        <v>#DIV/0!</v>
      </c>
      <c r="I200" s="250">
        <f t="shared" ref="I200:I206" si="522">SUMPRODUCT((Ass=B200)*((Avancement="Tvx")+(Avancement="Réception")))</f>
        <v>2</v>
      </c>
      <c r="J200" s="254">
        <f t="shared" ref="J200:J206" si="523">I200/$I$207</f>
        <v>0.15384615384615385</v>
      </c>
      <c r="K200" s="250">
        <f t="shared" ref="K200:K206" si="524">SUMPRODUCT((Ass=B200)*((Avancement="GPA")))</f>
        <v>2</v>
      </c>
      <c r="L200" s="254">
        <f t="shared" ref="L200:L206" si="525">K200/$K$207</f>
        <v>0.33333333333333331</v>
      </c>
      <c r="M200" s="250">
        <f t="shared" ref="M200:M206" si="526">SUMPRODUCT((Ass=B200)*((Avancement="cloture")))</f>
        <v>0</v>
      </c>
      <c r="N200" s="254">
        <f t="shared" ref="N200:N206" si="527">M200/$M$207</f>
        <v>0</v>
      </c>
      <c r="O200" s="250">
        <f t="shared" ref="O200:O206" si="528">SUMPRODUCT((Ass=B200)*((Avancement="stand by")))</f>
        <v>0</v>
      </c>
      <c r="P200" s="264">
        <f>C200+E200+G200+I200+K200+M200+O200</f>
        <v>9</v>
      </c>
      <c r="Q200" s="96">
        <f>P200-C182</f>
        <v>2</v>
      </c>
      <c r="AR200" s="96"/>
      <c r="AS200" s="20"/>
      <c r="AW200" s="11"/>
      <c r="AX200" s="11"/>
      <c r="DV200" s="357"/>
      <c r="DW200" s="357"/>
      <c r="DX200" s="11"/>
      <c r="DY200" s="357"/>
      <c r="DZ200" s="357"/>
      <c r="EA200" s="357"/>
      <c r="GM200" s="11"/>
      <c r="GN200" s="11"/>
      <c r="GO200" s="11"/>
      <c r="GP200" s="11"/>
      <c r="GQ200" s="11"/>
      <c r="GR200" s="11"/>
      <c r="GS200" s="11"/>
      <c r="GT200" s="11"/>
    </row>
    <row r="201" spans="2:202">
      <c r="B201" s="265" t="s">
        <v>605</v>
      </c>
      <c r="C201" s="252">
        <f t="shared" si="516"/>
        <v>3</v>
      </c>
      <c r="D201" s="255">
        <f t="shared" si="517"/>
        <v>0.3</v>
      </c>
      <c r="E201" s="252">
        <f t="shared" si="518"/>
        <v>1</v>
      </c>
      <c r="F201" s="255">
        <f t="shared" si="519"/>
        <v>7.6923076923076927E-2</v>
      </c>
      <c r="G201" s="252">
        <f t="shared" si="520"/>
        <v>0</v>
      </c>
      <c r="H201" s="255" t="e">
        <f t="shared" si="521"/>
        <v>#DIV/0!</v>
      </c>
      <c r="I201" s="252">
        <f t="shared" si="522"/>
        <v>2</v>
      </c>
      <c r="J201" s="255">
        <f t="shared" si="523"/>
        <v>0.15384615384615385</v>
      </c>
      <c r="K201" s="252">
        <f t="shared" si="524"/>
        <v>0</v>
      </c>
      <c r="L201" s="255">
        <f t="shared" si="525"/>
        <v>0</v>
      </c>
      <c r="M201" s="252">
        <f t="shared" si="526"/>
        <v>0</v>
      </c>
      <c r="N201" s="255">
        <f t="shared" si="527"/>
        <v>0</v>
      </c>
      <c r="O201" s="252">
        <f t="shared" si="528"/>
        <v>2</v>
      </c>
      <c r="P201" s="265">
        <f t="shared" ref="P201:P206" si="529">C201+E201+G201+I201+K201+M201+O201</f>
        <v>8</v>
      </c>
      <c r="Q201" s="96">
        <f>P201-F182</f>
        <v>1</v>
      </c>
      <c r="AR201" s="96"/>
      <c r="AS201" s="20"/>
      <c r="AW201" s="11"/>
      <c r="AX201" s="11"/>
      <c r="DV201" s="357"/>
      <c r="DW201" s="357"/>
      <c r="DX201" s="11"/>
      <c r="DY201" s="357"/>
      <c r="DZ201" s="357"/>
      <c r="EA201" s="357"/>
      <c r="GM201" s="11"/>
      <c r="GN201" s="11"/>
      <c r="GO201" s="11"/>
      <c r="GP201" s="11"/>
      <c r="GQ201" s="11"/>
      <c r="GR201" s="11"/>
      <c r="GS201" s="11"/>
      <c r="GT201" s="11"/>
    </row>
    <row r="202" spans="2:202">
      <c r="B202" s="265" t="s">
        <v>464</v>
      </c>
      <c r="C202" s="252">
        <f t="shared" si="516"/>
        <v>2</v>
      </c>
      <c r="D202" s="255">
        <f t="shared" si="517"/>
        <v>0.2</v>
      </c>
      <c r="E202" s="252">
        <f t="shared" si="518"/>
        <v>2</v>
      </c>
      <c r="F202" s="255">
        <f t="shared" si="519"/>
        <v>0.15384615384615385</v>
      </c>
      <c r="G202" s="252">
        <f t="shared" si="520"/>
        <v>0</v>
      </c>
      <c r="H202" s="255" t="e">
        <f t="shared" si="521"/>
        <v>#DIV/0!</v>
      </c>
      <c r="I202" s="252">
        <f t="shared" si="522"/>
        <v>1</v>
      </c>
      <c r="J202" s="255">
        <f t="shared" si="523"/>
        <v>7.6923076923076927E-2</v>
      </c>
      <c r="K202" s="252">
        <f t="shared" si="524"/>
        <v>1</v>
      </c>
      <c r="L202" s="255">
        <f t="shared" si="525"/>
        <v>0.16666666666666666</v>
      </c>
      <c r="M202" s="252">
        <f t="shared" si="526"/>
        <v>0</v>
      </c>
      <c r="N202" s="255">
        <f t="shared" si="527"/>
        <v>0</v>
      </c>
      <c r="O202" s="252">
        <f t="shared" si="528"/>
        <v>0</v>
      </c>
      <c r="P202" s="265">
        <f t="shared" si="529"/>
        <v>6</v>
      </c>
      <c r="Q202" s="96">
        <f>P202-E182</f>
        <v>1</v>
      </c>
      <c r="DV202" s="357"/>
      <c r="DW202" s="357"/>
      <c r="DX202" s="11"/>
      <c r="DY202" s="357"/>
      <c r="DZ202" s="357"/>
      <c r="EA202" s="357"/>
      <c r="GM202" s="11"/>
      <c r="GN202" s="11"/>
      <c r="GO202" s="11"/>
      <c r="GP202" s="11"/>
      <c r="GQ202" s="11"/>
      <c r="GR202" s="11"/>
      <c r="GS202" s="11"/>
      <c r="GT202" s="11"/>
    </row>
    <row r="203" spans="2:202">
      <c r="B203" s="265" t="s">
        <v>606</v>
      </c>
      <c r="C203" s="252">
        <f t="shared" si="516"/>
        <v>0</v>
      </c>
      <c r="D203" s="255">
        <f t="shared" si="517"/>
        <v>0</v>
      </c>
      <c r="E203" s="252">
        <f t="shared" si="518"/>
        <v>2</v>
      </c>
      <c r="F203" s="255">
        <f t="shared" si="519"/>
        <v>0.15384615384615385</v>
      </c>
      <c r="G203" s="252">
        <f t="shared" si="520"/>
        <v>0</v>
      </c>
      <c r="H203" s="255" t="e">
        <f t="shared" si="521"/>
        <v>#DIV/0!</v>
      </c>
      <c r="I203" s="252">
        <f t="shared" si="522"/>
        <v>1</v>
      </c>
      <c r="J203" s="255">
        <f t="shared" si="523"/>
        <v>7.6923076923076927E-2</v>
      </c>
      <c r="K203" s="252">
        <f t="shared" si="524"/>
        <v>0</v>
      </c>
      <c r="L203" s="255">
        <f t="shared" si="525"/>
        <v>0</v>
      </c>
      <c r="M203" s="252">
        <f t="shared" si="526"/>
        <v>1</v>
      </c>
      <c r="N203" s="255">
        <f t="shared" si="527"/>
        <v>0.33333333333333331</v>
      </c>
      <c r="O203" s="252">
        <f t="shared" si="528"/>
        <v>0</v>
      </c>
      <c r="P203" s="265">
        <f t="shared" si="529"/>
        <v>4</v>
      </c>
      <c r="Q203" s="96">
        <f>P203-F182</f>
        <v>-3</v>
      </c>
      <c r="DV203" s="357"/>
      <c r="DW203" s="357"/>
      <c r="DX203" s="11"/>
      <c r="DY203" s="357"/>
      <c r="DZ203" s="357"/>
      <c r="EA203" s="357"/>
      <c r="GM203" s="11"/>
      <c r="GN203" s="11"/>
      <c r="GO203" s="11"/>
      <c r="GP203" s="11"/>
      <c r="GQ203" s="11"/>
      <c r="GR203" s="11"/>
      <c r="GS203" s="11"/>
      <c r="GT203" s="11"/>
    </row>
    <row r="204" spans="2:202">
      <c r="B204" s="265" t="s">
        <v>142</v>
      </c>
      <c r="C204" s="252">
        <f t="shared" si="516"/>
        <v>0</v>
      </c>
      <c r="D204" s="255">
        <f t="shared" si="517"/>
        <v>0</v>
      </c>
      <c r="E204" s="252">
        <f t="shared" si="518"/>
        <v>4</v>
      </c>
      <c r="F204" s="255">
        <f t="shared" si="519"/>
        <v>0.30769230769230771</v>
      </c>
      <c r="G204" s="252">
        <f t="shared" si="520"/>
        <v>0</v>
      </c>
      <c r="H204" s="255" t="e">
        <f t="shared" si="521"/>
        <v>#DIV/0!</v>
      </c>
      <c r="I204" s="252">
        <f t="shared" si="522"/>
        <v>2</v>
      </c>
      <c r="J204" s="255">
        <f t="shared" si="523"/>
        <v>0.15384615384615385</v>
      </c>
      <c r="K204" s="252">
        <f t="shared" si="524"/>
        <v>0</v>
      </c>
      <c r="L204" s="255">
        <f t="shared" si="525"/>
        <v>0</v>
      </c>
      <c r="M204" s="252">
        <f t="shared" si="526"/>
        <v>0</v>
      </c>
      <c r="N204" s="255">
        <f t="shared" si="527"/>
        <v>0</v>
      </c>
      <c r="O204" s="252">
        <f t="shared" si="528"/>
        <v>0</v>
      </c>
      <c r="P204" s="265">
        <f t="shared" si="529"/>
        <v>6</v>
      </c>
      <c r="Q204" s="96">
        <f>P204-G182</f>
        <v>-2</v>
      </c>
      <c r="DV204" s="357"/>
      <c r="DW204" s="357"/>
      <c r="DX204" s="11"/>
      <c r="DY204" s="357"/>
      <c r="DZ204" s="357"/>
      <c r="EA204" s="357"/>
      <c r="GM204" s="11"/>
      <c r="GN204" s="11"/>
      <c r="GO204" s="11"/>
      <c r="GP204" s="11"/>
      <c r="GQ204" s="11"/>
      <c r="GR204" s="11"/>
      <c r="GS204" s="11"/>
      <c r="GT204" s="11"/>
    </row>
    <row r="205" spans="2:202">
      <c r="B205" s="265" t="s">
        <v>141</v>
      </c>
      <c r="C205" s="252">
        <f t="shared" si="516"/>
        <v>1</v>
      </c>
      <c r="D205" s="255">
        <f t="shared" si="517"/>
        <v>0.1</v>
      </c>
      <c r="E205" s="252">
        <f t="shared" si="518"/>
        <v>0</v>
      </c>
      <c r="F205" s="255">
        <f t="shared" si="519"/>
        <v>0</v>
      </c>
      <c r="G205" s="252">
        <f t="shared" si="520"/>
        <v>0</v>
      </c>
      <c r="H205" s="255" t="e">
        <f t="shared" si="521"/>
        <v>#DIV/0!</v>
      </c>
      <c r="I205" s="252">
        <f t="shared" si="522"/>
        <v>2</v>
      </c>
      <c r="J205" s="255">
        <f t="shared" si="523"/>
        <v>0.15384615384615385</v>
      </c>
      <c r="K205" s="252">
        <f t="shared" si="524"/>
        <v>0</v>
      </c>
      <c r="L205" s="255">
        <f t="shared" si="525"/>
        <v>0</v>
      </c>
      <c r="M205" s="252">
        <f t="shared" si="526"/>
        <v>1</v>
      </c>
      <c r="N205" s="255">
        <f t="shared" si="527"/>
        <v>0.33333333333333331</v>
      </c>
      <c r="O205" s="252">
        <f t="shared" si="528"/>
        <v>0</v>
      </c>
      <c r="P205" s="265">
        <f t="shared" si="529"/>
        <v>4</v>
      </c>
      <c r="Q205" s="96">
        <f>P205-H182</f>
        <v>0</v>
      </c>
      <c r="DV205" s="357"/>
      <c r="DW205" s="357"/>
      <c r="DX205" s="11"/>
      <c r="DY205" s="357"/>
      <c r="DZ205" s="357"/>
      <c r="EA205" s="357"/>
      <c r="GM205" s="11"/>
      <c r="GN205" s="11"/>
      <c r="GO205" s="11"/>
      <c r="GP205" s="11"/>
      <c r="GQ205" s="11"/>
      <c r="GR205" s="11"/>
      <c r="GS205" s="11"/>
      <c r="GT205" s="11"/>
    </row>
    <row r="206" spans="2:202" ht="15" thickBot="1">
      <c r="B206" s="266" t="s">
        <v>337</v>
      </c>
      <c r="C206" s="251">
        <f t="shared" si="516"/>
        <v>2</v>
      </c>
      <c r="D206" s="256">
        <f t="shared" si="517"/>
        <v>0.2</v>
      </c>
      <c r="E206" s="251">
        <f t="shared" si="518"/>
        <v>1</v>
      </c>
      <c r="F206" s="256">
        <f t="shared" si="519"/>
        <v>7.6923076923076927E-2</v>
      </c>
      <c r="G206" s="251">
        <f t="shared" si="520"/>
        <v>0</v>
      </c>
      <c r="H206" s="256" t="e">
        <f t="shared" si="521"/>
        <v>#DIV/0!</v>
      </c>
      <c r="I206" s="251">
        <f t="shared" si="522"/>
        <v>3</v>
      </c>
      <c r="J206" s="256">
        <f t="shared" si="523"/>
        <v>0.23076923076923078</v>
      </c>
      <c r="K206" s="251">
        <f t="shared" si="524"/>
        <v>3</v>
      </c>
      <c r="L206" s="256">
        <f t="shared" si="525"/>
        <v>0.5</v>
      </c>
      <c r="M206" s="251">
        <f t="shared" si="526"/>
        <v>1</v>
      </c>
      <c r="N206" s="256">
        <f t="shared" si="527"/>
        <v>0.33333333333333331</v>
      </c>
      <c r="O206" s="251">
        <f t="shared" si="528"/>
        <v>0</v>
      </c>
      <c r="P206" s="266">
        <f t="shared" si="529"/>
        <v>10</v>
      </c>
      <c r="Q206" s="96">
        <f>P206-I182</f>
        <v>2</v>
      </c>
      <c r="DV206" s="357"/>
      <c r="DW206" s="357"/>
      <c r="DX206" s="11"/>
      <c r="DY206" s="357"/>
      <c r="DZ206" s="357"/>
      <c r="EA206" s="357"/>
      <c r="GM206" s="11"/>
      <c r="GN206" s="11"/>
      <c r="GO206" s="11"/>
      <c r="GP206" s="11"/>
      <c r="GQ206" s="11"/>
      <c r="GR206" s="11"/>
      <c r="GS206" s="11"/>
      <c r="GT206" s="11"/>
    </row>
    <row r="207" spans="2:202" ht="15" thickBot="1">
      <c r="C207" s="257">
        <f t="shared" ref="C207:H207" si="530">SUM(C200:C206)</f>
        <v>10</v>
      </c>
      <c r="D207" s="258">
        <f t="shared" si="530"/>
        <v>1</v>
      </c>
      <c r="E207" s="257">
        <f t="shared" si="530"/>
        <v>13</v>
      </c>
      <c r="F207" s="260">
        <f t="shared" si="530"/>
        <v>1</v>
      </c>
      <c r="G207" s="257">
        <f t="shared" si="530"/>
        <v>0</v>
      </c>
      <c r="H207" s="260" t="e">
        <f t="shared" si="530"/>
        <v>#DIV/0!</v>
      </c>
      <c r="I207" s="259">
        <f>SUBTOTAL(9,I200:I206)</f>
        <v>13</v>
      </c>
      <c r="J207" s="261">
        <f>SUBTOTAL(9,J200:J206)</f>
        <v>1</v>
      </c>
      <c r="K207" s="253">
        <f>SUM(K200:K206)</f>
        <v>6</v>
      </c>
      <c r="L207" s="262">
        <f>SUM(L200:L206)</f>
        <v>1</v>
      </c>
      <c r="M207" s="253">
        <f>SUM(M200:M206)</f>
        <v>3</v>
      </c>
      <c r="N207" s="263">
        <f>SUM(N200:N206)</f>
        <v>1</v>
      </c>
      <c r="O207" s="19">
        <f>SUBTOTAL(9,O200:O206)</f>
        <v>2</v>
      </c>
      <c r="P207" s="21">
        <f>SUBTOTAL(9,P200:P206)</f>
        <v>47</v>
      </c>
      <c r="Q207" s="96">
        <f>P207-B182</f>
        <v>1</v>
      </c>
      <c r="DV207" s="357"/>
      <c r="DW207" s="357"/>
      <c r="DX207" s="11"/>
      <c r="DY207" s="357"/>
      <c r="DZ207" s="357"/>
      <c r="EA207" s="357"/>
      <c r="GM207" s="11"/>
      <c r="GN207" s="11"/>
      <c r="GO207" s="11"/>
      <c r="GP207" s="11"/>
      <c r="GQ207" s="11"/>
      <c r="GR207" s="11"/>
      <c r="GS207" s="11"/>
      <c r="GT207" s="11"/>
    </row>
    <row r="208" spans="2:202">
      <c r="DV208" s="357"/>
      <c r="DW208" s="357"/>
      <c r="DX208" s="11"/>
      <c r="DY208" s="357"/>
      <c r="DZ208" s="357"/>
      <c r="EA208" s="357"/>
      <c r="GM208" s="11"/>
      <c r="GN208" s="11"/>
      <c r="GO208" s="11"/>
      <c r="GP208" s="11"/>
      <c r="GQ208" s="11"/>
      <c r="GR208" s="11"/>
      <c r="GS208" s="11"/>
      <c r="GT208" s="11"/>
    </row>
    <row r="209" spans="126:202">
      <c r="DV209" s="357"/>
      <c r="DW209" s="357"/>
      <c r="DX209" s="11"/>
      <c r="DY209" s="357"/>
      <c r="DZ209" s="357"/>
      <c r="EA209" s="357"/>
      <c r="GM209" s="11"/>
      <c r="GN209" s="11"/>
      <c r="GO209" s="11"/>
      <c r="GP209" s="11"/>
      <c r="GQ209" s="11"/>
      <c r="GR209" s="11"/>
      <c r="GS209" s="11"/>
      <c r="GT209" s="11"/>
    </row>
    <row r="210" spans="126:202">
      <c r="DV210" s="357"/>
      <c r="DW210" s="357"/>
      <c r="DX210" s="11"/>
      <c r="DY210" s="357"/>
      <c r="DZ210" s="357"/>
      <c r="EA210" s="357"/>
      <c r="GM210" s="11"/>
      <c r="GN210" s="11"/>
      <c r="GO210" s="11"/>
      <c r="GP210" s="11"/>
      <c r="GQ210" s="11"/>
      <c r="GR210" s="11"/>
      <c r="GS210" s="11"/>
      <c r="GT210" s="11"/>
    </row>
    <row r="211" spans="126:202">
      <c r="DV211" s="357"/>
      <c r="DW211" s="357"/>
      <c r="DX211" s="11"/>
      <c r="DY211" s="357"/>
      <c r="DZ211" s="357"/>
      <c r="EA211" s="357"/>
      <c r="GM211" s="11"/>
      <c r="GN211" s="11"/>
      <c r="GO211" s="11"/>
      <c r="GP211" s="11"/>
      <c r="GQ211" s="11"/>
      <c r="GR211" s="11"/>
      <c r="GS211" s="11"/>
      <c r="GT211" s="11"/>
    </row>
    <row r="212" spans="126:202">
      <c r="DV212" s="357"/>
      <c r="DW212" s="357"/>
      <c r="DX212" s="11"/>
      <c r="DY212" s="357"/>
      <c r="DZ212" s="357"/>
      <c r="EA212" s="357"/>
      <c r="GM212" s="11"/>
      <c r="GN212" s="11"/>
      <c r="GO212" s="11"/>
      <c r="GP212" s="11"/>
      <c r="GQ212" s="11"/>
      <c r="GR212" s="11"/>
      <c r="GS212" s="11"/>
      <c r="GT212" s="11"/>
    </row>
    <row r="213" spans="126:202">
      <c r="DV213" s="357"/>
      <c r="DW213" s="357"/>
      <c r="DX213" s="11"/>
      <c r="DY213" s="357"/>
      <c r="DZ213" s="357"/>
      <c r="EA213" s="357"/>
      <c r="GM213" s="11"/>
      <c r="GN213" s="11"/>
      <c r="GO213" s="11"/>
      <c r="GP213" s="11"/>
      <c r="GQ213" s="11"/>
      <c r="GR213" s="11"/>
      <c r="GS213" s="11"/>
      <c r="GT213" s="11"/>
    </row>
    <row r="214" spans="126:202">
      <c r="DV214" s="357"/>
      <c r="DW214" s="357"/>
      <c r="DX214" s="11"/>
      <c r="DY214" s="357"/>
      <c r="DZ214" s="357"/>
      <c r="EA214" s="357"/>
      <c r="GM214" s="11"/>
      <c r="GN214" s="11"/>
      <c r="GO214" s="11"/>
      <c r="GP214" s="11"/>
      <c r="GQ214" s="11"/>
      <c r="GR214" s="11"/>
      <c r="GS214" s="11"/>
      <c r="GT214" s="11"/>
    </row>
    <row r="215" spans="126:202">
      <c r="DV215" s="357"/>
      <c r="DW215" s="357"/>
      <c r="DX215" s="11"/>
      <c r="DY215" s="357"/>
      <c r="DZ215" s="357"/>
      <c r="EA215" s="357"/>
      <c r="GM215" s="11"/>
      <c r="GN215" s="11"/>
      <c r="GO215" s="11"/>
      <c r="GP215" s="11"/>
      <c r="GQ215" s="11"/>
      <c r="GR215" s="11"/>
      <c r="GS215" s="11"/>
      <c r="GT215" s="11"/>
    </row>
    <row r="216" spans="126:202">
      <c r="DV216" s="357"/>
      <c r="DW216" s="357"/>
      <c r="DX216" s="11"/>
      <c r="DY216" s="357"/>
      <c r="DZ216" s="357"/>
      <c r="EA216" s="357"/>
      <c r="GM216" s="11"/>
      <c r="GN216" s="11"/>
      <c r="GO216" s="11"/>
      <c r="GP216" s="11"/>
      <c r="GQ216" s="11"/>
      <c r="GR216" s="11"/>
      <c r="GS216" s="11"/>
      <c r="GT216" s="11"/>
    </row>
    <row r="217" spans="126:202">
      <c r="DV217" s="357"/>
      <c r="DW217" s="357"/>
      <c r="DX217" s="11"/>
      <c r="DY217" s="357"/>
      <c r="DZ217" s="357"/>
      <c r="EA217" s="357"/>
      <c r="GM217" s="11"/>
      <c r="GN217" s="11"/>
      <c r="GO217" s="11"/>
      <c r="GP217" s="11"/>
      <c r="GQ217" s="11"/>
      <c r="GR217" s="11"/>
      <c r="GS217" s="11"/>
      <c r="GT217" s="11"/>
    </row>
    <row r="218" spans="126:202">
      <c r="DV218" s="357"/>
      <c r="DW218" s="357"/>
      <c r="DX218" s="11"/>
      <c r="DY218" s="357"/>
      <c r="DZ218" s="357"/>
      <c r="EA218" s="357"/>
      <c r="GM218" s="11"/>
      <c r="GN218" s="11"/>
      <c r="GO218" s="11"/>
      <c r="GP218" s="11"/>
      <c r="GQ218" s="11"/>
      <c r="GR218" s="11"/>
      <c r="GS218" s="11"/>
      <c r="GT218" s="11"/>
    </row>
    <row r="219" spans="126:202">
      <c r="DV219" s="357"/>
      <c r="DW219" s="357"/>
      <c r="DX219" s="11"/>
      <c r="DY219" s="357"/>
      <c r="DZ219" s="357"/>
      <c r="EA219" s="357"/>
      <c r="GM219" s="11"/>
      <c r="GN219" s="11"/>
      <c r="GO219" s="11"/>
      <c r="GP219" s="11"/>
      <c r="GQ219" s="11"/>
      <c r="GR219" s="11"/>
      <c r="GS219" s="11"/>
      <c r="GT219" s="11"/>
    </row>
    <row r="220" spans="126:202">
      <c r="DV220" s="357"/>
      <c r="DW220" s="357"/>
      <c r="DX220" s="11"/>
      <c r="DY220" s="357"/>
      <c r="DZ220" s="357"/>
      <c r="EA220" s="357"/>
      <c r="GM220" s="11"/>
      <c r="GN220" s="11"/>
      <c r="GO220" s="11"/>
      <c r="GP220" s="11"/>
      <c r="GQ220" s="11"/>
      <c r="GR220" s="11"/>
      <c r="GS220" s="11"/>
      <c r="GT220" s="11"/>
    </row>
    <row r="221" spans="126:202">
      <c r="DV221" s="357"/>
      <c r="DW221" s="357"/>
      <c r="DX221" s="11"/>
      <c r="DY221" s="357"/>
      <c r="DZ221" s="357"/>
      <c r="EA221" s="357"/>
      <c r="GM221" s="11"/>
      <c r="GN221" s="11"/>
      <c r="GO221" s="11"/>
      <c r="GP221" s="11"/>
      <c r="GQ221" s="11"/>
      <c r="GR221" s="11"/>
      <c r="GS221" s="11"/>
      <c r="GT221" s="11"/>
    </row>
    <row r="222" spans="126:202">
      <c r="DV222" s="357"/>
      <c r="DW222" s="357"/>
      <c r="DX222" s="11"/>
      <c r="DY222" s="357"/>
      <c r="DZ222" s="357"/>
      <c r="EA222" s="357"/>
      <c r="GM222" s="11"/>
      <c r="GN222" s="11"/>
      <c r="GO222" s="11"/>
      <c r="GP222" s="11"/>
      <c r="GQ222" s="11"/>
      <c r="GR222" s="11"/>
      <c r="GS222" s="11"/>
      <c r="GT222" s="11"/>
    </row>
    <row r="223" spans="126:202">
      <c r="DV223" s="357"/>
      <c r="DW223" s="357"/>
      <c r="DX223" s="11"/>
      <c r="DY223" s="357"/>
      <c r="DZ223" s="357"/>
      <c r="EA223" s="357"/>
      <c r="GM223" s="11"/>
      <c r="GN223" s="11"/>
      <c r="GO223" s="11"/>
      <c r="GP223" s="11"/>
      <c r="GQ223" s="11"/>
      <c r="GR223" s="11"/>
      <c r="GS223" s="11"/>
      <c r="GT223" s="11"/>
    </row>
    <row r="224" spans="126:202">
      <c r="DV224" s="357"/>
      <c r="DW224" s="357"/>
      <c r="DX224" s="11"/>
      <c r="DY224" s="357"/>
      <c r="DZ224" s="357"/>
      <c r="EA224" s="357"/>
      <c r="GM224" s="11"/>
      <c r="GN224" s="11"/>
      <c r="GO224" s="11"/>
      <c r="GP224" s="11"/>
      <c r="GQ224" s="11"/>
      <c r="GR224" s="11"/>
      <c r="GS224" s="11"/>
      <c r="GT224" s="11"/>
    </row>
    <row r="225" spans="1:232">
      <c r="DV225" s="357"/>
      <c r="DW225" s="357"/>
      <c r="DX225" s="11"/>
      <c r="DY225" s="357"/>
      <c r="DZ225" s="357"/>
      <c r="EA225" s="357"/>
      <c r="GM225" s="11"/>
      <c r="GN225" s="11"/>
      <c r="GO225" s="11"/>
      <c r="GP225" s="11"/>
      <c r="GQ225" s="11"/>
      <c r="GR225" s="11"/>
      <c r="GS225" s="11"/>
      <c r="GT225" s="11"/>
    </row>
    <row r="226" spans="1:232">
      <c r="DV226" s="357"/>
      <c r="DW226" s="357"/>
      <c r="DX226" s="11"/>
      <c r="DY226" s="357"/>
      <c r="DZ226" s="357"/>
      <c r="EA226" s="357"/>
      <c r="GM226" s="11"/>
      <c r="GN226" s="11"/>
      <c r="GO226" s="11"/>
      <c r="GP226" s="11"/>
      <c r="GQ226" s="11"/>
      <c r="GR226" s="11"/>
      <c r="GS226" s="11"/>
      <c r="GT226" s="11"/>
    </row>
    <row r="227" spans="1:232">
      <c r="DV227" s="357"/>
      <c r="DW227" s="357"/>
      <c r="DX227" s="11"/>
      <c r="DY227" s="357"/>
      <c r="DZ227" s="357"/>
      <c r="EA227" s="357"/>
      <c r="GM227" s="11"/>
      <c r="GN227" s="11"/>
      <c r="GO227" s="11"/>
      <c r="GP227" s="11"/>
      <c r="GQ227" s="11"/>
      <c r="GR227" s="11"/>
      <c r="GS227" s="11"/>
      <c r="GT227" s="11"/>
    </row>
    <row r="228" spans="1:232">
      <c r="DV228" s="357"/>
      <c r="DW228" s="357"/>
      <c r="DX228" s="11"/>
      <c r="DY228" s="357"/>
      <c r="DZ228" s="357"/>
      <c r="EA228" s="357"/>
      <c r="GM228" s="11"/>
      <c r="GN228" s="11"/>
      <c r="GO228" s="11"/>
      <c r="GP228" s="11"/>
      <c r="GQ228" s="11"/>
      <c r="GR228" s="11"/>
      <c r="GS228" s="11"/>
      <c r="GT228" s="11"/>
    </row>
    <row r="229" spans="1:232">
      <c r="DV229" s="357"/>
      <c r="DW229" s="357"/>
      <c r="DX229" s="11"/>
      <c r="DY229" s="357"/>
      <c r="DZ229" s="357"/>
      <c r="EA229" s="357"/>
      <c r="GM229" s="11"/>
      <c r="GN229" s="11"/>
      <c r="GO229" s="11"/>
      <c r="GP229" s="11"/>
      <c r="GQ229" s="11"/>
      <c r="GR229" s="11"/>
      <c r="GS229" s="11"/>
      <c r="GT229" s="11"/>
    </row>
    <row r="230" spans="1:232">
      <c r="DV230" s="357"/>
      <c r="DW230" s="357"/>
      <c r="DX230" s="11"/>
      <c r="DY230" s="357"/>
      <c r="DZ230" s="357"/>
      <c r="EA230" s="357"/>
      <c r="GM230" s="11"/>
      <c r="GN230" s="11"/>
      <c r="GO230" s="11"/>
      <c r="GP230" s="11"/>
      <c r="GQ230" s="11"/>
      <c r="GR230" s="11"/>
      <c r="GS230" s="11"/>
      <c r="GT230" s="11"/>
    </row>
    <row r="231" spans="1:232">
      <c r="DV231" s="357"/>
      <c r="DW231" s="357"/>
      <c r="DX231" s="11"/>
      <c r="DY231" s="357"/>
      <c r="DZ231" s="357"/>
      <c r="EA231" s="357"/>
      <c r="GM231" s="11"/>
      <c r="GN231" s="11"/>
      <c r="GO231" s="11"/>
      <c r="GP231" s="11"/>
      <c r="GQ231" s="11"/>
      <c r="GR231" s="11"/>
      <c r="GS231" s="11"/>
      <c r="GT231" s="11"/>
    </row>
    <row r="232" spans="1:232">
      <c r="DV232" s="357"/>
      <c r="DW232" s="357"/>
      <c r="DX232" s="11"/>
      <c r="DY232" s="357"/>
      <c r="DZ232" s="357"/>
      <c r="EA232" s="357"/>
      <c r="GM232" s="11"/>
      <c r="GN232" s="11"/>
      <c r="GO232" s="11"/>
      <c r="GP232" s="11"/>
      <c r="GQ232" s="11"/>
      <c r="GR232" s="11"/>
      <c r="GS232" s="11"/>
      <c r="GT232" s="11"/>
    </row>
    <row r="233" spans="1:232">
      <c r="DV233" s="357"/>
      <c r="DW233" s="357"/>
      <c r="DX233" s="11"/>
      <c r="DY233" s="357"/>
      <c r="DZ233" s="357"/>
      <c r="EA233" s="357"/>
      <c r="GM233" s="11"/>
      <c r="GN233" s="11"/>
      <c r="GO233" s="11"/>
      <c r="GP233" s="11"/>
      <c r="GQ233" s="11"/>
      <c r="GR233" s="11"/>
      <c r="GS233" s="11"/>
      <c r="GT233" s="11"/>
    </row>
    <row r="234" spans="1:232">
      <c r="DV234" s="357"/>
      <c r="DW234" s="357"/>
      <c r="DX234" s="11"/>
      <c r="DY234" s="357"/>
      <c r="DZ234" s="357"/>
      <c r="EA234" s="357"/>
      <c r="GM234" s="11"/>
      <c r="GN234" s="11"/>
      <c r="GO234" s="11"/>
      <c r="GP234" s="11"/>
      <c r="GQ234" s="11"/>
      <c r="GR234" s="11"/>
      <c r="GS234" s="11"/>
      <c r="GT234" s="11"/>
    </row>
    <row r="235" spans="1:232">
      <c r="DV235" s="357"/>
      <c r="DW235" s="357"/>
      <c r="DX235" s="11"/>
      <c r="DY235" s="357"/>
      <c r="DZ235" s="357"/>
      <c r="EA235" s="357"/>
      <c r="GM235" s="11"/>
      <c r="GN235" s="11"/>
      <c r="GO235" s="11"/>
      <c r="GP235" s="11"/>
      <c r="GQ235" s="11"/>
      <c r="GR235" s="11"/>
      <c r="GS235" s="11"/>
      <c r="GT235" s="11"/>
    </row>
    <row r="236" spans="1:232" s="25" customFormat="1">
      <c r="A236" s="785"/>
      <c r="B236" s="11"/>
      <c r="C236" s="11"/>
      <c r="D236" s="11"/>
      <c r="E236" s="11"/>
      <c r="F236" s="11"/>
      <c r="G236" s="11"/>
      <c r="H236" s="11"/>
      <c r="I236" s="11"/>
      <c r="J236" s="11"/>
      <c r="K236" s="210"/>
      <c r="L236" s="135"/>
      <c r="M236" s="135"/>
      <c r="N236" s="135"/>
      <c r="O236" s="11"/>
      <c r="P236" s="11"/>
      <c r="Q236" s="11"/>
      <c r="R236" s="11"/>
      <c r="S236" s="11"/>
      <c r="T236" s="11"/>
      <c r="U236" s="11"/>
      <c r="V236" s="11"/>
      <c r="W236" s="11"/>
      <c r="X236" s="11"/>
      <c r="Y236" s="11"/>
      <c r="Z236" s="11"/>
      <c r="AA236" s="11"/>
      <c r="AB236" s="11"/>
      <c r="AC236" s="11"/>
      <c r="AD236" s="11"/>
      <c r="AE236" s="11"/>
      <c r="AF236" s="11"/>
      <c r="AG236" s="11"/>
      <c r="AH236" s="11"/>
      <c r="AI236" s="11"/>
      <c r="AJ236" s="480"/>
      <c r="AK236" s="121"/>
      <c r="AL236" s="591"/>
      <c r="AM236" s="11"/>
      <c r="AN236" s="11"/>
      <c r="AO236" s="11"/>
      <c r="AP236" s="11"/>
      <c r="AQ236" s="11"/>
      <c r="AR236" s="11"/>
      <c r="AS236" s="11"/>
      <c r="AT236" s="11"/>
      <c r="AU236" s="11"/>
      <c r="AV236" s="11"/>
      <c r="AW236" s="96"/>
      <c r="AX236" s="20"/>
      <c r="AY236" s="11"/>
      <c r="AZ236" s="11"/>
      <c r="BA236" s="11"/>
      <c r="BB236" s="11"/>
      <c r="BC236" s="11"/>
      <c r="BD236" s="11"/>
      <c r="BE236" s="11"/>
      <c r="BF236" s="11"/>
      <c r="BG236" s="11"/>
      <c r="BH236" s="11"/>
      <c r="BI236" s="11"/>
      <c r="BJ236" s="121"/>
      <c r="BK236" s="121"/>
      <c r="BL236" s="121"/>
      <c r="BM236" s="121"/>
      <c r="BN236" s="121"/>
      <c r="BO236" s="121"/>
      <c r="BP236" s="121"/>
      <c r="BQ236" s="121"/>
      <c r="BR236" s="645"/>
      <c r="BS236" s="121"/>
      <c r="BT236" s="121"/>
      <c r="BU236" s="121"/>
      <c r="BV236" s="121"/>
      <c r="BW236" s="121"/>
      <c r="BX236" s="121"/>
      <c r="BY236" s="121"/>
      <c r="BZ236" s="121"/>
      <c r="CA236" s="121"/>
      <c r="CB236" s="11"/>
      <c r="CC236" s="357"/>
      <c r="CD236" s="357"/>
      <c r="CE236" s="21"/>
      <c r="CF236" s="11"/>
      <c r="CG236" s="357"/>
      <c r="CH236" s="11"/>
      <c r="CI236" s="357"/>
      <c r="CJ236" s="11"/>
      <c r="CK236" s="11"/>
      <c r="CL236" s="11"/>
      <c r="CM236" s="11"/>
      <c r="CN236" s="11"/>
      <c r="CO236" s="357"/>
      <c r="CP236" s="357"/>
      <c r="CQ236" s="11"/>
      <c r="CR236" s="11"/>
      <c r="CS236" s="357"/>
      <c r="CT236" s="357"/>
      <c r="CU236" s="357"/>
      <c r="CV236" s="11"/>
      <c r="CW236" s="357"/>
      <c r="CX236" s="11"/>
      <c r="CY236" s="11"/>
      <c r="CZ236" s="11"/>
      <c r="DA236" s="11"/>
      <c r="DB236" s="157"/>
      <c r="DC236" s="11"/>
      <c r="DD236" s="357"/>
      <c r="DE236" s="357"/>
      <c r="DF236" s="21"/>
      <c r="DG236" s="357"/>
      <c r="DH236" s="357"/>
      <c r="DI236" s="11"/>
      <c r="DJ236" s="357"/>
      <c r="DK236" s="357"/>
      <c r="DL236" s="11"/>
      <c r="DM236" s="357"/>
      <c r="DN236" s="357"/>
      <c r="DO236" s="11"/>
      <c r="DP236" s="357"/>
      <c r="DQ236" s="357"/>
      <c r="DR236" s="11"/>
      <c r="DS236" s="357"/>
      <c r="DT236" s="357"/>
      <c r="DU236" s="11"/>
      <c r="DV236" s="357"/>
      <c r="DW236" s="357"/>
      <c r="DX236" s="11"/>
      <c r="DY236" s="357"/>
      <c r="DZ236" s="357"/>
      <c r="EA236" s="357"/>
      <c r="EB236" s="11"/>
      <c r="EC236" s="11"/>
      <c r="ED236" s="11"/>
      <c r="EE236" s="121"/>
      <c r="EF236" s="11"/>
      <c r="EG236" s="11"/>
      <c r="EH236" s="11"/>
      <c r="EI236" s="11"/>
      <c r="EJ236" s="11"/>
      <c r="EK236" s="11"/>
      <c r="EL236" s="11"/>
      <c r="EM236" s="228"/>
      <c r="EN236" s="11"/>
      <c r="EO236" s="11"/>
      <c r="EP236" s="11"/>
      <c r="EQ236" s="11"/>
      <c r="ER236" s="376"/>
      <c r="ES236" s="376"/>
      <c r="ET236" s="376"/>
      <c r="EU236" s="376"/>
      <c r="EV236" s="376"/>
      <c r="EW236" s="376"/>
      <c r="EY236" s="372"/>
      <c r="EZ236" s="543"/>
      <c r="FC236" s="11"/>
      <c r="FD236" s="11"/>
      <c r="FE236" s="11"/>
      <c r="FF236" s="11"/>
      <c r="FG236" s="11"/>
      <c r="FH236" s="11"/>
      <c r="FI236" s="11"/>
      <c r="FJ236" s="11"/>
      <c r="FK236" s="11"/>
      <c r="FL236" s="11"/>
      <c r="FM236" s="11"/>
      <c r="FN236" s="11"/>
      <c r="FO236" s="11"/>
      <c r="FP236" s="11"/>
      <c r="FQ236" s="11"/>
      <c r="FR236" s="11"/>
      <c r="FS236" s="11"/>
      <c r="FT236" s="11"/>
      <c r="FU236" s="11"/>
      <c r="FV236" s="11"/>
      <c r="FW236" s="11"/>
      <c r="FX236" s="391"/>
      <c r="FY236" s="391"/>
      <c r="FZ236" s="21"/>
      <c r="GA236" s="11"/>
      <c r="GB236" s="21"/>
      <c r="GC236" s="11"/>
      <c r="GD236" s="11"/>
      <c r="GE236" s="11"/>
      <c r="GF236" s="11"/>
      <c r="GG236" s="11"/>
      <c r="GH236" s="11"/>
      <c r="GI236" s="11"/>
      <c r="GJ236" s="11"/>
      <c r="GK236" s="411"/>
      <c r="GL236" s="11"/>
      <c r="GM236" s="11"/>
      <c r="GN236" s="11"/>
      <c r="GO236" s="11"/>
      <c r="GP236" s="11"/>
      <c r="GQ236" s="11"/>
      <c r="GR236" s="11"/>
      <c r="GS236" s="11"/>
      <c r="GT236" s="11"/>
      <c r="GU236" s="11"/>
      <c r="GV236" s="11"/>
      <c r="GW236" s="11"/>
      <c r="GX236" s="11"/>
      <c r="GY236" s="11"/>
      <c r="GZ236" s="11"/>
      <c r="HA236" s="11"/>
      <c r="HB236" s="11"/>
      <c r="HC236" s="11"/>
      <c r="HD236" s="21"/>
      <c r="HE236" s="11"/>
      <c r="HF236" s="11"/>
      <c r="HG236" s="11"/>
      <c r="HH236" s="11"/>
      <c r="HI236" s="11"/>
      <c r="HJ236" s="11"/>
      <c r="HK236" s="11"/>
      <c r="HL236" s="11"/>
      <c r="HM236" s="11"/>
      <c r="HN236" s="11"/>
      <c r="HO236" s="11"/>
      <c r="HP236" s="11"/>
      <c r="HQ236" s="40"/>
      <c r="HR236" s="40"/>
      <c r="HS236" s="40"/>
      <c r="HT236" s="40"/>
      <c r="HU236" s="40"/>
      <c r="HV236" s="11"/>
      <c r="HW236" s="11"/>
      <c r="HX236" s="40"/>
    </row>
    <row r="237" spans="1:232" s="25" customFormat="1">
      <c r="A237" s="785"/>
      <c r="B237" s="11"/>
      <c r="C237" s="11"/>
      <c r="D237" s="11"/>
      <c r="E237" s="11"/>
      <c r="F237" s="11"/>
      <c r="G237" s="11"/>
      <c r="H237" s="11"/>
      <c r="I237" s="11"/>
      <c r="J237" s="11"/>
      <c r="K237" s="210"/>
      <c r="L237" s="135"/>
      <c r="M237" s="135"/>
      <c r="N237" s="135"/>
      <c r="O237" s="11"/>
      <c r="P237" s="11"/>
      <c r="Q237" s="11"/>
      <c r="R237" s="11"/>
      <c r="S237" s="11"/>
      <c r="T237" s="11"/>
      <c r="U237" s="11"/>
      <c r="V237" s="11"/>
      <c r="W237" s="11"/>
      <c r="X237" s="11"/>
      <c r="Y237" s="11"/>
      <c r="Z237" s="11"/>
      <c r="AA237" s="11"/>
      <c r="AB237" s="11"/>
      <c r="AC237" s="11"/>
      <c r="AD237" s="11"/>
      <c r="AE237" s="11"/>
      <c r="AF237" s="11"/>
      <c r="AG237" s="11"/>
      <c r="AH237" s="11"/>
      <c r="AI237" s="11"/>
      <c r="AJ237" s="480"/>
      <c r="AK237" s="121"/>
      <c r="AL237" s="591"/>
      <c r="AM237" s="11"/>
      <c r="AN237" s="11"/>
      <c r="AO237" s="11"/>
      <c r="AP237" s="11"/>
      <c r="AQ237" s="11"/>
      <c r="AR237" s="11"/>
      <c r="AS237" s="11"/>
      <c r="AT237" s="11"/>
      <c r="AU237" s="11"/>
      <c r="AV237" s="11"/>
      <c r="AW237" s="96"/>
      <c r="AX237" s="20"/>
      <c r="AY237" s="11"/>
      <c r="AZ237" s="11"/>
      <c r="BA237" s="11"/>
      <c r="BB237" s="11"/>
      <c r="BC237" s="11"/>
      <c r="BD237" s="11"/>
      <c r="BE237" s="11"/>
      <c r="BF237" s="11"/>
      <c r="BG237" s="11"/>
      <c r="BH237" s="11"/>
      <c r="BI237" s="11"/>
      <c r="BJ237" s="121"/>
      <c r="BK237" s="121"/>
      <c r="BL237" s="121"/>
      <c r="BM237" s="121"/>
      <c r="BN237" s="121"/>
      <c r="BO237" s="121"/>
      <c r="BP237" s="121"/>
      <c r="BQ237" s="121"/>
      <c r="BR237" s="645"/>
      <c r="BS237" s="121"/>
      <c r="BT237" s="121"/>
      <c r="BU237" s="121"/>
      <c r="BV237" s="121"/>
      <c r="BW237" s="121"/>
      <c r="BX237" s="121"/>
      <c r="BY237" s="121"/>
      <c r="BZ237" s="121"/>
      <c r="CA237" s="121"/>
      <c r="CB237" s="11"/>
      <c r="CC237" s="357"/>
      <c r="CD237" s="357"/>
      <c r="CE237" s="21"/>
      <c r="CF237" s="11"/>
      <c r="CG237" s="357"/>
      <c r="CH237" s="11"/>
      <c r="CI237" s="357"/>
      <c r="CJ237" s="11"/>
      <c r="CK237" s="11"/>
      <c r="CL237" s="11"/>
      <c r="CM237" s="11"/>
      <c r="CN237" s="11"/>
      <c r="CO237" s="357"/>
      <c r="CP237" s="357"/>
      <c r="CQ237" s="11"/>
      <c r="CR237" s="11"/>
      <c r="CS237" s="357"/>
      <c r="CT237" s="357"/>
      <c r="CU237" s="357"/>
      <c r="CV237" s="11"/>
      <c r="CW237" s="357"/>
      <c r="CX237" s="11"/>
      <c r="CY237" s="11"/>
      <c r="CZ237" s="11"/>
      <c r="DA237" s="11"/>
      <c r="DB237" s="157"/>
      <c r="DC237" s="11"/>
      <c r="DD237" s="357"/>
      <c r="DE237" s="357"/>
      <c r="DF237" s="21"/>
      <c r="DG237" s="357"/>
      <c r="DH237" s="357"/>
      <c r="DI237" s="11"/>
      <c r="DJ237" s="357"/>
      <c r="DK237" s="357"/>
      <c r="DL237" s="11"/>
      <c r="DM237" s="357"/>
      <c r="DN237" s="357"/>
      <c r="DO237" s="11"/>
      <c r="DP237" s="357"/>
      <c r="DQ237" s="357"/>
      <c r="DR237" s="11"/>
      <c r="DS237" s="357"/>
      <c r="DT237" s="357"/>
      <c r="DU237" s="11"/>
      <c r="DV237" s="357"/>
      <c r="DW237" s="357"/>
      <c r="DX237" s="11"/>
      <c r="DY237" s="357"/>
      <c r="DZ237" s="357"/>
      <c r="EA237" s="357"/>
      <c r="EB237" s="11"/>
      <c r="EC237" s="11"/>
      <c r="ED237" s="11"/>
      <c r="EE237" s="121"/>
      <c r="EF237" s="11"/>
      <c r="EG237" s="11"/>
      <c r="EH237" s="11"/>
      <c r="EI237" s="11"/>
      <c r="EJ237" s="11"/>
      <c r="EK237" s="11"/>
      <c r="EL237" s="11"/>
      <c r="EM237" s="228"/>
      <c r="EN237" s="11"/>
      <c r="EO237" s="11"/>
      <c r="EP237" s="11"/>
      <c r="EQ237" s="11"/>
      <c r="ER237" s="376"/>
      <c r="ES237" s="376"/>
      <c r="ET237" s="376"/>
      <c r="EU237" s="376"/>
      <c r="EV237" s="376"/>
      <c r="EW237" s="376"/>
      <c r="EY237" s="372"/>
      <c r="EZ237" s="543"/>
      <c r="FC237" s="11"/>
      <c r="FD237" s="11"/>
      <c r="FE237" s="11"/>
      <c r="FF237" s="11"/>
      <c r="FG237" s="11"/>
      <c r="FH237" s="11"/>
      <c r="FI237" s="11"/>
      <c r="FJ237" s="11"/>
      <c r="FK237" s="11"/>
      <c r="FL237" s="11"/>
      <c r="FM237" s="11"/>
      <c r="FN237" s="11"/>
      <c r="FO237" s="11"/>
      <c r="FP237" s="11"/>
      <c r="FQ237" s="11"/>
      <c r="FR237" s="11"/>
      <c r="FS237" s="11"/>
      <c r="FT237" s="11"/>
      <c r="FU237" s="11"/>
      <c r="FV237" s="11"/>
      <c r="FW237" s="11"/>
      <c r="FX237" s="391"/>
      <c r="FY237" s="391"/>
      <c r="FZ237" s="21"/>
      <c r="GA237" s="11"/>
      <c r="GB237" s="21"/>
      <c r="GC237" s="11"/>
      <c r="GD237" s="11"/>
      <c r="GE237" s="11"/>
      <c r="GF237" s="11"/>
      <c r="GG237" s="11"/>
      <c r="GH237" s="11"/>
      <c r="GI237" s="11"/>
      <c r="GJ237" s="11"/>
      <c r="GK237" s="411"/>
      <c r="GL237" s="11"/>
      <c r="GM237" s="11"/>
      <c r="GN237" s="11"/>
      <c r="GO237" s="11"/>
      <c r="GP237" s="11"/>
      <c r="GQ237" s="11"/>
      <c r="GR237" s="11"/>
      <c r="GS237" s="11"/>
      <c r="GT237" s="11"/>
      <c r="GU237" s="11"/>
      <c r="GV237" s="11"/>
      <c r="GW237" s="11"/>
      <c r="GX237" s="11"/>
      <c r="GY237" s="11"/>
      <c r="GZ237" s="11"/>
      <c r="HA237" s="11"/>
      <c r="HB237" s="11"/>
      <c r="HC237" s="11"/>
      <c r="HD237" s="21"/>
      <c r="HE237" s="11"/>
      <c r="HF237" s="11"/>
      <c r="HG237" s="11"/>
      <c r="HH237" s="11"/>
      <c r="HI237" s="11"/>
      <c r="HJ237" s="11"/>
      <c r="HK237" s="11"/>
      <c r="HL237" s="11"/>
      <c r="HM237" s="11"/>
      <c r="HN237" s="11"/>
      <c r="HO237" s="11"/>
      <c r="HP237" s="11"/>
      <c r="HQ237" s="40"/>
      <c r="HR237" s="40"/>
      <c r="HS237" s="40"/>
      <c r="HT237" s="40"/>
      <c r="HU237" s="40"/>
      <c r="HV237" s="11"/>
      <c r="HW237" s="11"/>
      <c r="HX237" s="40"/>
    </row>
    <row r="238" spans="1:232" s="25" customFormat="1">
      <c r="A238" s="785"/>
      <c r="B238" s="11"/>
      <c r="C238" s="11"/>
      <c r="D238" s="11"/>
      <c r="E238" s="11"/>
      <c r="F238" s="11"/>
      <c r="G238" s="11"/>
      <c r="H238" s="11"/>
      <c r="I238" s="11"/>
      <c r="J238" s="11"/>
      <c r="K238" s="210"/>
      <c r="L238" s="135"/>
      <c r="M238" s="135"/>
      <c r="N238" s="135"/>
      <c r="O238" s="11"/>
      <c r="P238" s="11"/>
      <c r="Q238" s="11"/>
      <c r="R238" s="11"/>
      <c r="S238" s="11"/>
      <c r="T238" s="11"/>
      <c r="U238" s="11"/>
      <c r="V238" s="11"/>
      <c r="W238" s="11"/>
      <c r="X238" s="11"/>
      <c r="Y238" s="11"/>
      <c r="Z238" s="11"/>
      <c r="AA238" s="11"/>
      <c r="AB238" s="11"/>
      <c r="AC238" s="11"/>
      <c r="AD238" s="11"/>
      <c r="AE238" s="11"/>
      <c r="AF238" s="11"/>
      <c r="AG238" s="11"/>
      <c r="AH238" s="11"/>
      <c r="AI238" s="11"/>
      <c r="AJ238" s="480"/>
      <c r="AK238" s="121"/>
      <c r="AL238" s="591"/>
      <c r="AM238" s="11"/>
      <c r="AN238" s="11"/>
      <c r="AO238" s="11"/>
      <c r="AP238" s="11"/>
      <c r="AQ238" s="11"/>
      <c r="AR238" s="11"/>
      <c r="AS238" s="11"/>
      <c r="AT238" s="11"/>
      <c r="AU238" s="11"/>
      <c r="AV238" s="11"/>
      <c r="AW238" s="96"/>
      <c r="AX238" s="20"/>
      <c r="AY238" s="11"/>
      <c r="AZ238" s="11"/>
      <c r="BA238" s="11"/>
      <c r="BB238" s="11"/>
      <c r="BC238" s="11"/>
      <c r="BD238" s="11"/>
      <c r="BE238" s="11"/>
      <c r="BF238" s="11"/>
      <c r="BG238" s="11"/>
      <c r="BH238" s="11"/>
      <c r="BI238" s="11"/>
      <c r="BJ238" s="121"/>
      <c r="BK238" s="121"/>
      <c r="BL238" s="121"/>
      <c r="BM238" s="121"/>
      <c r="BN238" s="121"/>
      <c r="BO238" s="121"/>
      <c r="BP238" s="121"/>
      <c r="BQ238" s="121"/>
      <c r="BR238" s="645"/>
      <c r="BS238" s="121"/>
      <c r="BT238" s="121"/>
      <c r="BU238" s="121"/>
      <c r="BV238" s="121"/>
      <c r="BW238" s="121"/>
      <c r="BX238" s="121"/>
      <c r="BY238" s="121"/>
      <c r="BZ238" s="121"/>
      <c r="CA238" s="121"/>
      <c r="CB238" s="11"/>
      <c r="CC238" s="357"/>
      <c r="CD238" s="357"/>
      <c r="CE238" s="21"/>
      <c r="CF238" s="11"/>
      <c r="CG238" s="357"/>
      <c r="CH238" s="11"/>
      <c r="CI238" s="357"/>
      <c r="CJ238" s="11"/>
      <c r="CK238" s="11"/>
      <c r="CL238" s="11"/>
      <c r="CM238" s="11"/>
      <c r="CN238" s="11"/>
      <c r="CO238" s="357"/>
      <c r="CP238" s="357"/>
      <c r="CQ238" s="11"/>
      <c r="CR238" s="11"/>
      <c r="CS238" s="357"/>
      <c r="CT238" s="357"/>
      <c r="CU238" s="357"/>
      <c r="CV238" s="11"/>
      <c r="CW238" s="357"/>
      <c r="CX238" s="11"/>
      <c r="CY238" s="11"/>
      <c r="CZ238" s="11"/>
      <c r="DA238" s="11"/>
      <c r="DB238" s="157"/>
      <c r="DC238" s="11"/>
      <c r="DD238" s="357"/>
      <c r="DE238" s="357"/>
      <c r="DF238" s="21"/>
      <c r="DG238" s="357"/>
      <c r="DH238" s="357"/>
      <c r="DI238" s="11"/>
      <c r="DJ238" s="357"/>
      <c r="DK238" s="357"/>
      <c r="DL238" s="11"/>
      <c r="DM238" s="357"/>
      <c r="DN238" s="357"/>
      <c r="DO238" s="11"/>
      <c r="DP238" s="357"/>
      <c r="DQ238" s="357"/>
      <c r="DR238" s="11"/>
      <c r="DS238" s="357"/>
      <c r="DT238" s="357"/>
      <c r="DU238" s="11"/>
      <c r="DV238" s="357"/>
      <c r="DW238" s="357"/>
      <c r="DX238" s="11"/>
      <c r="DY238" s="357"/>
      <c r="DZ238" s="357"/>
      <c r="EA238" s="357"/>
      <c r="EB238" s="11"/>
      <c r="EC238" s="11"/>
      <c r="ED238" s="11"/>
      <c r="EE238" s="121"/>
      <c r="EF238" s="11"/>
      <c r="EG238" s="11"/>
      <c r="EH238" s="11"/>
      <c r="EI238" s="11"/>
      <c r="EJ238" s="11"/>
      <c r="EK238" s="11"/>
      <c r="EL238" s="11"/>
      <c r="EM238" s="228"/>
      <c r="EN238" s="11"/>
      <c r="EO238" s="11"/>
      <c r="EP238" s="11"/>
      <c r="EQ238" s="11"/>
      <c r="ER238" s="376"/>
      <c r="ES238" s="376"/>
      <c r="ET238" s="376"/>
      <c r="EU238" s="376"/>
      <c r="EV238" s="376"/>
      <c r="EW238" s="376"/>
      <c r="EY238" s="372"/>
      <c r="EZ238" s="543"/>
      <c r="FC238" s="11"/>
      <c r="FD238" s="11"/>
      <c r="FE238" s="11"/>
      <c r="FF238" s="11"/>
      <c r="FG238" s="11"/>
      <c r="FH238" s="11"/>
      <c r="FI238" s="11"/>
      <c r="FJ238" s="11"/>
      <c r="FK238" s="11"/>
      <c r="FL238" s="11"/>
      <c r="FM238" s="11"/>
      <c r="FN238" s="11"/>
      <c r="FO238" s="11"/>
      <c r="FP238" s="11"/>
      <c r="FQ238" s="11"/>
      <c r="FR238" s="11"/>
      <c r="FS238" s="11"/>
      <c r="FT238" s="11"/>
      <c r="FU238" s="11"/>
      <c r="FV238" s="11"/>
      <c r="FW238" s="11"/>
      <c r="FX238" s="391"/>
      <c r="FY238" s="391"/>
      <c r="FZ238" s="21"/>
      <c r="GA238" s="11"/>
      <c r="GB238" s="21"/>
      <c r="GC238" s="11"/>
      <c r="GD238" s="11"/>
      <c r="GE238" s="11"/>
      <c r="GF238" s="11"/>
      <c r="GG238" s="11"/>
      <c r="GH238" s="11"/>
      <c r="GI238" s="11"/>
      <c r="GJ238" s="11"/>
      <c r="GK238" s="411"/>
      <c r="GL238" s="11"/>
      <c r="GM238" s="11"/>
      <c r="GN238" s="11"/>
      <c r="GO238" s="11"/>
      <c r="GP238" s="11"/>
      <c r="GQ238" s="11"/>
      <c r="GR238" s="11"/>
      <c r="GS238" s="11"/>
      <c r="GT238" s="11"/>
      <c r="GU238" s="11"/>
      <c r="GV238" s="11"/>
      <c r="GW238" s="11"/>
      <c r="GX238" s="11"/>
      <c r="GY238" s="11"/>
      <c r="GZ238" s="11"/>
      <c r="HA238" s="11"/>
      <c r="HB238" s="11"/>
      <c r="HC238" s="11"/>
      <c r="HD238" s="21"/>
      <c r="HE238" s="11"/>
      <c r="HF238" s="11"/>
      <c r="HG238" s="11"/>
      <c r="HH238" s="11"/>
      <c r="HI238" s="11"/>
      <c r="HJ238" s="11"/>
      <c r="HK238" s="11"/>
      <c r="HL238" s="11"/>
      <c r="HM238" s="11"/>
      <c r="HN238" s="11"/>
      <c r="HO238" s="11"/>
      <c r="HP238" s="11"/>
      <c r="HQ238" s="40"/>
      <c r="HR238" s="40"/>
      <c r="HS238" s="40"/>
      <c r="HT238" s="40"/>
      <c r="HU238" s="40"/>
      <c r="HV238" s="11"/>
      <c r="HW238" s="11"/>
      <c r="HX238" s="40"/>
    </row>
    <row r="239" spans="1:232" s="25" customFormat="1">
      <c r="A239" s="785"/>
      <c r="B239" s="11"/>
      <c r="C239" s="11"/>
      <c r="D239" s="11"/>
      <c r="E239" s="11"/>
      <c r="F239" s="11"/>
      <c r="G239" s="11"/>
      <c r="H239" s="11"/>
      <c r="I239" s="11"/>
      <c r="J239" s="11"/>
      <c r="K239" s="210"/>
      <c r="L239" s="135"/>
      <c r="M239" s="135"/>
      <c r="N239" s="135"/>
      <c r="O239" s="11"/>
      <c r="P239" s="11"/>
      <c r="Q239" s="11"/>
      <c r="R239" s="11"/>
      <c r="S239" s="11"/>
      <c r="T239" s="11"/>
      <c r="U239" s="11"/>
      <c r="V239" s="11"/>
      <c r="W239" s="11"/>
      <c r="X239" s="11"/>
      <c r="Y239" s="11"/>
      <c r="Z239" s="11"/>
      <c r="AA239" s="11"/>
      <c r="AB239" s="11"/>
      <c r="AC239" s="11"/>
      <c r="AD239" s="11"/>
      <c r="AE239" s="11"/>
      <c r="AF239" s="11"/>
      <c r="AG239" s="11"/>
      <c r="AH239" s="11"/>
      <c r="AI239" s="11"/>
      <c r="AJ239" s="480"/>
      <c r="AK239" s="121"/>
      <c r="AL239" s="591"/>
      <c r="AM239" s="11"/>
      <c r="AN239" s="11"/>
      <c r="AO239" s="11"/>
      <c r="AP239" s="11"/>
      <c r="AQ239" s="11"/>
      <c r="AR239" s="11"/>
      <c r="AS239" s="11"/>
      <c r="AT239" s="11"/>
      <c r="AU239" s="11"/>
      <c r="AV239" s="11"/>
      <c r="AW239" s="96"/>
      <c r="AX239" s="20"/>
      <c r="AY239" s="11"/>
      <c r="AZ239" s="11"/>
      <c r="BA239" s="11"/>
      <c r="BB239" s="11"/>
      <c r="BC239" s="11"/>
      <c r="BD239" s="11"/>
      <c r="BE239" s="11"/>
      <c r="BF239" s="11"/>
      <c r="BG239" s="11"/>
      <c r="BH239" s="11"/>
      <c r="BI239" s="11"/>
      <c r="BJ239" s="121"/>
      <c r="BK239" s="121"/>
      <c r="BL239" s="121"/>
      <c r="BM239" s="121"/>
      <c r="BN239" s="121"/>
      <c r="BO239" s="121"/>
      <c r="BP239" s="121"/>
      <c r="BQ239" s="121"/>
      <c r="BR239" s="645"/>
      <c r="BS239" s="121"/>
      <c r="BT239" s="121"/>
      <c r="BU239" s="121"/>
      <c r="BV239" s="121"/>
      <c r="BW239" s="121"/>
      <c r="BX239" s="121"/>
      <c r="BY239" s="121"/>
      <c r="BZ239" s="121"/>
      <c r="CA239" s="121"/>
      <c r="CB239" s="11"/>
      <c r="CC239" s="357"/>
      <c r="CD239" s="357"/>
      <c r="CE239" s="21"/>
      <c r="CF239" s="11"/>
      <c r="CG239" s="357"/>
      <c r="CH239" s="11"/>
      <c r="CI239" s="357"/>
      <c r="CJ239" s="11"/>
      <c r="CK239" s="11"/>
      <c r="CL239" s="11"/>
      <c r="CM239" s="11"/>
      <c r="CN239" s="11"/>
      <c r="CO239" s="357"/>
      <c r="CP239" s="357"/>
      <c r="CQ239" s="11"/>
      <c r="CR239" s="11"/>
      <c r="CS239" s="357"/>
      <c r="CT239" s="357"/>
      <c r="CU239" s="357"/>
      <c r="CV239" s="11"/>
      <c r="CW239" s="357"/>
      <c r="CX239" s="11"/>
      <c r="CY239" s="11"/>
      <c r="CZ239" s="11"/>
      <c r="DA239" s="11"/>
      <c r="DB239" s="157"/>
      <c r="DC239" s="11"/>
      <c r="DD239" s="357"/>
      <c r="DE239" s="357"/>
      <c r="DF239" s="21"/>
      <c r="DG239" s="357"/>
      <c r="DH239" s="357"/>
      <c r="DI239" s="11"/>
      <c r="DJ239" s="357"/>
      <c r="DK239" s="357"/>
      <c r="DL239" s="11"/>
      <c r="DM239" s="357"/>
      <c r="DN239" s="357"/>
      <c r="DO239" s="11"/>
      <c r="DP239" s="357"/>
      <c r="DQ239" s="357"/>
      <c r="DR239" s="11"/>
      <c r="DS239" s="357"/>
      <c r="DT239" s="357"/>
      <c r="DU239" s="11"/>
      <c r="DV239" s="357"/>
      <c r="DW239" s="357"/>
      <c r="DX239" s="11"/>
      <c r="DY239" s="357"/>
      <c r="DZ239" s="357"/>
      <c r="EA239" s="357"/>
      <c r="EB239" s="11"/>
      <c r="EC239" s="11"/>
      <c r="ED239" s="11"/>
      <c r="EE239" s="121"/>
      <c r="EF239" s="11"/>
      <c r="EG239" s="11"/>
      <c r="EH239" s="11"/>
      <c r="EI239" s="11"/>
      <c r="EJ239" s="11"/>
      <c r="EK239" s="11"/>
      <c r="EL239" s="11"/>
      <c r="EM239" s="228"/>
      <c r="EN239" s="11"/>
      <c r="EO239" s="11"/>
      <c r="EP239" s="11"/>
      <c r="EQ239" s="11"/>
      <c r="ER239" s="376"/>
      <c r="ES239" s="376"/>
      <c r="ET239" s="376"/>
      <c r="EU239" s="376"/>
      <c r="EV239" s="376"/>
      <c r="EW239" s="376"/>
      <c r="EY239" s="372"/>
      <c r="EZ239" s="543"/>
      <c r="FC239" s="11"/>
      <c r="FD239" s="11"/>
      <c r="FE239" s="11"/>
      <c r="FF239" s="11"/>
      <c r="FG239" s="11"/>
      <c r="FH239" s="11"/>
      <c r="FI239" s="11"/>
      <c r="FJ239" s="11"/>
      <c r="FK239" s="11"/>
      <c r="FL239" s="11"/>
      <c r="FM239" s="11"/>
      <c r="FN239" s="11"/>
      <c r="FO239" s="11"/>
      <c r="FP239" s="11"/>
      <c r="FQ239" s="11"/>
      <c r="FR239" s="11"/>
      <c r="FS239" s="11"/>
      <c r="FT239" s="11"/>
      <c r="FU239" s="11"/>
      <c r="FV239" s="11"/>
      <c r="FW239" s="11"/>
      <c r="FX239" s="391"/>
      <c r="FY239" s="391"/>
      <c r="FZ239" s="21"/>
      <c r="GA239" s="11"/>
      <c r="GB239" s="21"/>
      <c r="GC239" s="11"/>
      <c r="GD239" s="11"/>
      <c r="GE239" s="11"/>
      <c r="GF239" s="11"/>
      <c r="GG239" s="11"/>
      <c r="GH239" s="11"/>
      <c r="GI239" s="11"/>
      <c r="GJ239" s="11"/>
      <c r="GK239" s="411"/>
      <c r="GL239" s="11"/>
      <c r="GM239" s="11"/>
      <c r="GN239" s="11"/>
      <c r="GO239" s="11"/>
      <c r="GP239" s="11"/>
      <c r="GQ239" s="11"/>
      <c r="GR239" s="11"/>
      <c r="GS239" s="11"/>
      <c r="GT239" s="11"/>
      <c r="GU239" s="11"/>
      <c r="GV239" s="11"/>
      <c r="GW239" s="11"/>
      <c r="GX239" s="11"/>
      <c r="GY239" s="11"/>
      <c r="GZ239" s="11"/>
      <c r="HA239" s="11"/>
      <c r="HB239" s="11"/>
      <c r="HC239" s="11"/>
      <c r="HD239" s="21"/>
      <c r="HE239" s="11"/>
      <c r="HF239" s="11"/>
      <c r="HG239" s="11"/>
      <c r="HH239" s="11"/>
      <c r="HI239" s="11"/>
      <c r="HJ239" s="11"/>
      <c r="HK239" s="11"/>
      <c r="HL239" s="11"/>
      <c r="HM239" s="11"/>
      <c r="HN239" s="11"/>
      <c r="HO239" s="11"/>
      <c r="HP239" s="11"/>
      <c r="HQ239" s="40"/>
      <c r="HR239" s="40"/>
      <c r="HS239" s="40"/>
      <c r="HT239" s="40"/>
      <c r="HU239" s="40"/>
      <c r="HV239" s="11"/>
      <c r="HW239" s="11"/>
      <c r="HX239" s="40"/>
    </row>
    <row r="240" spans="1:232" s="25" customFormat="1">
      <c r="A240" s="785"/>
      <c r="B240" s="11"/>
      <c r="C240" s="11"/>
      <c r="D240" s="11"/>
      <c r="E240" s="11"/>
      <c r="F240" s="11"/>
      <c r="G240" s="11"/>
      <c r="H240" s="11"/>
      <c r="I240" s="11"/>
      <c r="J240" s="11"/>
      <c r="K240" s="210"/>
      <c r="L240" s="135"/>
      <c r="M240" s="135"/>
      <c r="N240" s="135"/>
      <c r="O240" s="11"/>
      <c r="P240" s="11"/>
      <c r="Q240" s="11"/>
      <c r="R240" s="11"/>
      <c r="S240" s="11"/>
      <c r="T240" s="11"/>
      <c r="U240" s="11"/>
      <c r="V240" s="11"/>
      <c r="W240" s="11"/>
      <c r="X240" s="11"/>
      <c r="Y240" s="11"/>
      <c r="Z240" s="11"/>
      <c r="AA240" s="11"/>
      <c r="AB240" s="11"/>
      <c r="AC240" s="11"/>
      <c r="AD240" s="11"/>
      <c r="AE240" s="11"/>
      <c r="AF240" s="11"/>
      <c r="AG240" s="11"/>
      <c r="AH240" s="11"/>
      <c r="AI240" s="11"/>
      <c r="AJ240" s="480"/>
      <c r="AK240" s="121"/>
      <c r="AL240" s="591"/>
      <c r="AM240" s="11"/>
      <c r="AN240" s="11"/>
      <c r="AO240" s="11"/>
      <c r="AP240" s="11"/>
      <c r="AQ240" s="11"/>
      <c r="AR240" s="11"/>
      <c r="AS240" s="11"/>
      <c r="AT240" s="11"/>
      <c r="AU240" s="11"/>
      <c r="AV240" s="11"/>
      <c r="AW240" s="96"/>
      <c r="AX240" s="20"/>
      <c r="AY240" s="11"/>
      <c r="AZ240" s="11"/>
      <c r="BA240" s="11"/>
      <c r="BB240" s="11"/>
      <c r="BC240" s="11"/>
      <c r="BD240" s="11"/>
      <c r="BE240" s="11"/>
      <c r="BF240" s="11"/>
      <c r="BG240" s="11"/>
      <c r="BH240" s="11"/>
      <c r="BI240" s="11"/>
      <c r="BJ240" s="121"/>
      <c r="BK240" s="121"/>
      <c r="BL240" s="121"/>
      <c r="BM240" s="121"/>
      <c r="BN240" s="121"/>
      <c r="BO240" s="121"/>
      <c r="BP240" s="121"/>
      <c r="BQ240" s="121"/>
      <c r="BR240" s="645"/>
      <c r="BS240" s="121"/>
      <c r="BT240" s="121"/>
      <c r="BU240" s="121"/>
      <c r="BV240" s="121"/>
      <c r="BW240" s="121"/>
      <c r="BX240" s="121"/>
      <c r="BY240" s="121"/>
      <c r="BZ240" s="121"/>
      <c r="CA240" s="121"/>
      <c r="CB240" s="11"/>
      <c r="CC240" s="357"/>
      <c r="CD240" s="357"/>
      <c r="CE240" s="21"/>
      <c r="CF240" s="11"/>
      <c r="CG240" s="357"/>
      <c r="CH240" s="11"/>
      <c r="CI240" s="357"/>
      <c r="CJ240" s="11"/>
      <c r="CK240" s="11"/>
      <c r="CL240" s="11"/>
      <c r="CM240" s="11"/>
      <c r="CN240" s="11"/>
      <c r="CO240" s="357"/>
      <c r="CP240" s="357"/>
      <c r="CQ240" s="11"/>
      <c r="CR240" s="11"/>
      <c r="CS240" s="357"/>
      <c r="CT240" s="357"/>
      <c r="CU240" s="357"/>
      <c r="CV240" s="11"/>
      <c r="CW240" s="357"/>
      <c r="CX240" s="11"/>
      <c r="CY240" s="11"/>
      <c r="CZ240" s="11"/>
      <c r="DA240" s="11"/>
      <c r="DB240" s="157"/>
      <c r="DC240" s="11"/>
      <c r="DD240" s="357"/>
      <c r="DE240" s="357"/>
      <c r="DF240" s="21"/>
      <c r="DG240" s="357"/>
      <c r="DH240" s="357"/>
      <c r="DI240" s="11"/>
      <c r="DJ240" s="357"/>
      <c r="DK240" s="357"/>
      <c r="DL240" s="11"/>
      <c r="DM240" s="357"/>
      <c r="DN240" s="357"/>
      <c r="DO240" s="11"/>
      <c r="DP240" s="357"/>
      <c r="DQ240" s="357"/>
      <c r="DR240" s="11"/>
      <c r="DS240" s="357"/>
      <c r="DT240" s="357"/>
      <c r="DU240" s="11"/>
      <c r="DV240" s="357"/>
      <c r="DW240" s="357"/>
      <c r="DX240" s="11"/>
      <c r="DY240" s="357"/>
      <c r="DZ240" s="357"/>
      <c r="EA240" s="357"/>
      <c r="EB240" s="11"/>
      <c r="EC240" s="11"/>
      <c r="ED240" s="11"/>
      <c r="EE240" s="121"/>
      <c r="EF240" s="11"/>
      <c r="EG240" s="11"/>
      <c r="EH240" s="11"/>
      <c r="EI240" s="11"/>
      <c r="EJ240" s="11"/>
      <c r="EK240" s="11"/>
      <c r="EL240" s="11"/>
      <c r="EM240" s="228"/>
      <c r="EN240" s="11"/>
      <c r="EO240" s="11"/>
      <c r="EP240" s="11"/>
      <c r="EQ240" s="11"/>
      <c r="ER240" s="376"/>
      <c r="ES240" s="376"/>
      <c r="ET240" s="376"/>
      <c r="EU240" s="376"/>
      <c r="EV240" s="376"/>
      <c r="EW240" s="376"/>
      <c r="EY240" s="372"/>
      <c r="EZ240" s="543"/>
      <c r="FC240" s="11"/>
      <c r="FD240" s="11"/>
      <c r="FE240" s="11"/>
      <c r="FF240" s="11"/>
      <c r="FG240" s="11"/>
      <c r="FH240" s="11"/>
      <c r="FI240" s="11"/>
      <c r="FJ240" s="11"/>
      <c r="FK240" s="11"/>
      <c r="FL240" s="11"/>
      <c r="FM240" s="11"/>
      <c r="FN240" s="11"/>
      <c r="FO240" s="11"/>
      <c r="FP240" s="11"/>
      <c r="FQ240" s="11"/>
      <c r="FR240" s="11"/>
      <c r="FS240" s="11"/>
      <c r="FT240" s="11"/>
      <c r="FU240" s="11"/>
      <c r="FV240" s="11"/>
      <c r="FW240" s="11"/>
      <c r="FX240" s="391"/>
      <c r="FY240" s="391"/>
      <c r="FZ240" s="21"/>
      <c r="GA240" s="11"/>
      <c r="GB240" s="21"/>
      <c r="GC240" s="11"/>
      <c r="GD240" s="11"/>
      <c r="GE240" s="11"/>
      <c r="GF240" s="11"/>
      <c r="GG240" s="11"/>
      <c r="GH240" s="11"/>
      <c r="GI240" s="11"/>
      <c r="GJ240" s="11"/>
      <c r="GK240" s="411"/>
      <c r="GL240" s="11"/>
      <c r="GM240" s="11"/>
      <c r="GN240" s="11"/>
      <c r="GO240" s="11"/>
      <c r="GP240" s="11"/>
      <c r="GQ240" s="11"/>
      <c r="GR240" s="11"/>
      <c r="GS240" s="11"/>
      <c r="GT240" s="11"/>
      <c r="GU240" s="11"/>
      <c r="GV240" s="11"/>
      <c r="GW240" s="11"/>
      <c r="GX240" s="11"/>
      <c r="GY240" s="11"/>
      <c r="GZ240" s="11"/>
      <c r="HA240" s="11"/>
      <c r="HB240" s="11"/>
      <c r="HC240" s="11"/>
      <c r="HD240" s="21"/>
      <c r="HE240" s="11"/>
      <c r="HF240" s="11"/>
      <c r="HG240" s="11"/>
      <c r="HH240" s="11"/>
      <c r="HI240" s="11"/>
      <c r="HJ240" s="11"/>
      <c r="HK240" s="11"/>
      <c r="HL240" s="11"/>
      <c r="HM240" s="11"/>
      <c r="HN240" s="11"/>
      <c r="HO240" s="11"/>
      <c r="HP240" s="11"/>
      <c r="HQ240" s="40"/>
      <c r="HR240" s="40"/>
      <c r="HS240" s="40"/>
      <c r="HT240" s="40"/>
      <c r="HU240" s="40"/>
      <c r="HV240" s="11"/>
      <c r="HW240" s="11"/>
      <c r="HX240" s="40"/>
    </row>
    <row r="241" spans="1:232" s="25" customFormat="1">
      <c r="A241" s="785"/>
      <c r="B241" s="11"/>
      <c r="C241" s="11"/>
      <c r="D241" s="11"/>
      <c r="E241" s="11"/>
      <c r="F241" s="11"/>
      <c r="G241" s="11"/>
      <c r="H241" s="11"/>
      <c r="I241" s="11"/>
      <c r="J241" s="11"/>
      <c r="K241" s="210"/>
      <c r="L241" s="135"/>
      <c r="M241" s="135"/>
      <c r="N241" s="135"/>
      <c r="O241" s="11"/>
      <c r="P241" s="11"/>
      <c r="Q241" s="11"/>
      <c r="R241" s="11"/>
      <c r="S241" s="11"/>
      <c r="T241" s="11"/>
      <c r="U241" s="11"/>
      <c r="V241" s="11"/>
      <c r="W241" s="11"/>
      <c r="X241" s="11"/>
      <c r="Y241" s="11"/>
      <c r="Z241" s="11"/>
      <c r="AA241" s="11"/>
      <c r="AB241" s="11"/>
      <c r="AC241" s="11"/>
      <c r="AD241" s="11"/>
      <c r="AE241" s="11"/>
      <c r="AF241" s="11"/>
      <c r="AG241" s="11"/>
      <c r="AH241" s="11"/>
      <c r="AI241" s="11"/>
      <c r="AJ241" s="480"/>
      <c r="AK241" s="121"/>
      <c r="AL241" s="591"/>
      <c r="AM241" s="11"/>
      <c r="AN241" s="11"/>
      <c r="AO241" s="11"/>
      <c r="AP241" s="11"/>
      <c r="AQ241" s="11"/>
      <c r="AR241" s="11"/>
      <c r="AS241" s="11"/>
      <c r="AT241" s="11"/>
      <c r="AU241" s="11"/>
      <c r="AV241" s="11"/>
      <c r="AW241" s="96"/>
      <c r="AX241" s="20"/>
      <c r="AY241" s="11"/>
      <c r="AZ241" s="11"/>
      <c r="BA241" s="11"/>
      <c r="BB241" s="11"/>
      <c r="BC241" s="11"/>
      <c r="BD241" s="11"/>
      <c r="BE241" s="11"/>
      <c r="BF241" s="11"/>
      <c r="BG241" s="11"/>
      <c r="BH241" s="11"/>
      <c r="BI241" s="11"/>
      <c r="BJ241" s="121"/>
      <c r="BK241" s="121"/>
      <c r="BL241" s="121"/>
      <c r="BM241" s="121"/>
      <c r="BN241" s="121"/>
      <c r="BO241" s="121"/>
      <c r="BP241" s="121"/>
      <c r="BQ241" s="121"/>
      <c r="BR241" s="645"/>
      <c r="BS241" s="121"/>
      <c r="BT241" s="121"/>
      <c r="BU241" s="121"/>
      <c r="BV241" s="121"/>
      <c r="BW241" s="121"/>
      <c r="BX241" s="121"/>
      <c r="BY241" s="121"/>
      <c r="BZ241" s="121"/>
      <c r="CA241" s="121"/>
      <c r="CB241" s="11"/>
      <c r="CC241" s="357"/>
      <c r="CD241" s="357"/>
      <c r="CE241" s="21"/>
      <c r="CF241" s="11"/>
      <c r="CG241" s="357"/>
      <c r="CH241" s="11"/>
      <c r="CI241" s="357"/>
      <c r="CJ241" s="11"/>
      <c r="CK241" s="11"/>
      <c r="CL241" s="11"/>
      <c r="CM241" s="11"/>
      <c r="CN241" s="11"/>
      <c r="CO241" s="357"/>
      <c r="CP241" s="357"/>
      <c r="CQ241" s="11"/>
      <c r="CR241" s="11"/>
      <c r="CS241" s="357"/>
      <c r="CT241" s="357"/>
      <c r="CU241" s="357"/>
      <c r="CV241" s="11"/>
      <c r="CW241" s="357"/>
      <c r="CX241" s="11"/>
      <c r="CY241" s="11"/>
      <c r="CZ241" s="11"/>
      <c r="DA241" s="11"/>
      <c r="DB241" s="157"/>
      <c r="DC241" s="11"/>
      <c r="DD241" s="357"/>
      <c r="DE241" s="357"/>
      <c r="DF241" s="21"/>
      <c r="DG241" s="357"/>
      <c r="DH241" s="357"/>
      <c r="DI241" s="11"/>
      <c r="DJ241" s="357"/>
      <c r="DK241" s="357"/>
      <c r="DL241" s="11"/>
      <c r="DM241" s="357"/>
      <c r="DN241" s="357"/>
      <c r="DO241" s="11"/>
      <c r="DP241" s="357"/>
      <c r="DQ241" s="357"/>
      <c r="DR241" s="11"/>
      <c r="DS241" s="357"/>
      <c r="DT241" s="357"/>
      <c r="DU241" s="11"/>
      <c r="DV241" s="357"/>
      <c r="DW241" s="357"/>
      <c r="DX241" s="11"/>
      <c r="DY241" s="357"/>
      <c r="DZ241" s="357"/>
      <c r="EA241" s="357"/>
      <c r="EB241" s="11"/>
      <c r="EC241" s="11"/>
      <c r="ED241" s="11"/>
      <c r="EE241" s="121"/>
      <c r="EF241" s="11"/>
      <c r="EG241" s="11"/>
      <c r="EH241" s="11"/>
      <c r="EI241" s="11"/>
      <c r="EJ241" s="11"/>
      <c r="EK241" s="11"/>
      <c r="EL241" s="11"/>
      <c r="EM241" s="228"/>
      <c r="EN241" s="11"/>
      <c r="EO241" s="11"/>
      <c r="EP241" s="11"/>
      <c r="EQ241" s="11"/>
      <c r="ER241" s="376"/>
      <c r="ES241" s="376"/>
      <c r="ET241" s="376"/>
      <c r="EU241" s="376"/>
      <c r="EV241" s="376"/>
      <c r="EW241" s="376"/>
      <c r="EY241" s="372"/>
      <c r="EZ241" s="543"/>
      <c r="FC241" s="11"/>
      <c r="FD241" s="11"/>
      <c r="FE241" s="11"/>
      <c r="FF241" s="11"/>
      <c r="FG241" s="11"/>
      <c r="FH241" s="11"/>
      <c r="FI241" s="11"/>
      <c r="FJ241" s="11"/>
      <c r="FK241" s="11"/>
      <c r="FL241" s="11"/>
      <c r="FM241" s="11"/>
      <c r="FN241" s="11"/>
      <c r="FO241" s="11"/>
      <c r="FP241" s="11"/>
      <c r="FQ241" s="11"/>
      <c r="FR241" s="11"/>
      <c r="FS241" s="11"/>
      <c r="FT241" s="11"/>
      <c r="FU241" s="11"/>
      <c r="FV241" s="11"/>
      <c r="FW241" s="11"/>
      <c r="FX241" s="391"/>
      <c r="FY241" s="391"/>
      <c r="FZ241" s="21"/>
      <c r="GA241" s="11"/>
      <c r="GB241" s="21"/>
      <c r="GC241" s="11"/>
      <c r="GD241" s="11"/>
      <c r="GE241" s="11"/>
      <c r="GF241" s="11"/>
      <c r="GG241" s="11"/>
      <c r="GH241" s="11"/>
      <c r="GI241" s="11"/>
      <c r="GJ241" s="11"/>
      <c r="GK241" s="411"/>
      <c r="GL241" s="11"/>
      <c r="GM241" s="11"/>
      <c r="GN241" s="11"/>
      <c r="GO241" s="11"/>
      <c r="GP241" s="11"/>
      <c r="GQ241" s="11"/>
      <c r="GR241" s="11"/>
      <c r="GS241" s="11"/>
      <c r="GT241" s="11"/>
      <c r="GU241" s="11"/>
      <c r="GV241" s="11"/>
      <c r="GW241" s="11"/>
      <c r="GX241" s="11"/>
      <c r="GY241" s="11"/>
      <c r="GZ241" s="11"/>
      <c r="HA241" s="11"/>
      <c r="HB241" s="11"/>
      <c r="HC241" s="11"/>
      <c r="HD241" s="21"/>
      <c r="HE241" s="11"/>
      <c r="HF241" s="11"/>
      <c r="HG241" s="11"/>
      <c r="HH241" s="11"/>
      <c r="HI241" s="11"/>
      <c r="HJ241" s="11"/>
      <c r="HK241" s="11"/>
      <c r="HL241" s="11"/>
      <c r="HM241" s="11"/>
      <c r="HN241" s="11"/>
      <c r="HO241" s="11"/>
      <c r="HP241" s="11"/>
      <c r="HQ241" s="40"/>
      <c r="HR241" s="40"/>
      <c r="HS241" s="40"/>
      <c r="HT241" s="40"/>
      <c r="HU241" s="40"/>
      <c r="HV241" s="11"/>
      <c r="HW241" s="11"/>
      <c r="HX241" s="40"/>
    </row>
    <row r="242" spans="1:232" s="25" customFormat="1">
      <c r="A242" s="785"/>
      <c r="B242" s="11"/>
      <c r="C242" s="11"/>
      <c r="D242" s="11"/>
      <c r="E242" s="11"/>
      <c r="F242" s="11"/>
      <c r="G242" s="11"/>
      <c r="H242" s="11"/>
      <c r="I242" s="11"/>
      <c r="J242" s="11"/>
      <c r="K242" s="210"/>
      <c r="L242" s="135"/>
      <c r="M242" s="135"/>
      <c r="N242" s="135"/>
      <c r="O242" s="11"/>
      <c r="P242" s="11"/>
      <c r="Q242" s="11"/>
      <c r="R242" s="11"/>
      <c r="S242" s="11"/>
      <c r="T242" s="11"/>
      <c r="U242" s="11"/>
      <c r="V242" s="11"/>
      <c r="W242" s="11"/>
      <c r="X242" s="11"/>
      <c r="Y242" s="11"/>
      <c r="Z242" s="11"/>
      <c r="AA242" s="11"/>
      <c r="AB242" s="11"/>
      <c r="AC242" s="11"/>
      <c r="AD242" s="11"/>
      <c r="AE242" s="11"/>
      <c r="AF242" s="11"/>
      <c r="AG242" s="11"/>
      <c r="AH242" s="11"/>
      <c r="AI242" s="11"/>
      <c r="AJ242" s="480"/>
      <c r="AK242" s="121"/>
      <c r="AL242" s="591"/>
      <c r="AM242" s="11"/>
      <c r="AN242" s="11"/>
      <c r="AO242" s="11"/>
      <c r="AP242" s="11"/>
      <c r="AQ242" s="11"/>
      <c r="AR242" s="11"/>
      <c r="AS242" s="11"/>
      <c r="AT242" s="11"/>
      <c r="AU242" s="11"/>
      <c r="AV242" s="11"/>
      <c r="AW242" s="96"/>
      <c r="AX242" s="20"/>
      <c r="AY242" s="11"/>
      <c r="AZ242" s="11"/>
      <c r="BA242" s="11"/>
      <c r="BB242" s="11"/>
      <c r="BC242" s="11"/>
      <c r="BD242" s="11"/>
      <c r="BE242" s="11"/>
      <c r="BF242" s="11"/>
      <c r="BG242" s="11"/>
      <c r="BH242" s="11"/>
      <c r="BI242" s="11"/>
      <c r="BJ242" s="121"/>
      <c r="BK242" s="121"/>
      <c r="BL242" s="121"/>
      <c r="BM242" s="121"/>
      <c r="BN242" s="121"/>
      <c r="BO242" s="121"/>
      <c r="BP242" s="121"/>
      <c r="BQ242" s="121"/>
      <c r="BR242" s="645"/>
      <c r="BS242" s="121"/>
      <c r="BT242" s="121"/>
      <c r="BU242" s="121"/>
      <c r="BV242" s="121"/>
      <c r="BW242" s="121"/>
      <c r="BX242" s="121"/>
      <c r="BY242" s="121"/>
      <c r="BZ242" s="121"/>
      <c r="CA242" s="121"/>
      <c r="CB242" s="11"/>
      <c r="CC242" s="357"/>
      <c r="CD242" s="357"/>
      <c r="CE242" s="21"/>
      <c r="CF242" s="11"/>
      <c r="CG242" s="357"/>
      <c r="CH242" s="11"/>
      <c r="CI242" s="357"/>
      <c r="CJ242" s="11"/>
      <c r="CK242" s="11"/>
      <c r="CL242" s="11"/>
      <c r="CM242" s="11"/>
      <c r="CN242" s="11"/>
      <c r="CO242" s="357"/>
      <c r="CP242" s="357"/>
      <c r="CQ242" s="11"/>
      <c r="CR242" s="11"/>
      <c r="CS242" s="357"/>
      <c r="CT242" s="357"/>
      <c r="CU242" s="357"/>
      <c r="CV242" s="11"/>
      <c r="CW242" s="357"/>
      <c r="CX242" s="11"/>
      <c r="CY242" s="11"/>
      <c r="CZ242" s="11"/>
      <c r="DA242" s="11"/>
      <c r="DB242" s="157"/>
      <c r="DC242" s="11"/>
      <c r="DD242" s="357"/>
      <c r="DE242" s="357"/>
      <c r="DF242" s="21"/>
      <c r="DG242" s="357"/>
      <c r="DH242" s="357"/>
      <c r="DI242" s="11"/>
      <c r="DJ242" s="357"/>
      <c r="DK242" s="357"/>
      <c r="DL242" s="11"/>
      <c r="DM242" s="357"/>
      <c r="DN242" s="357"/>
      <c r="DO242" s="11"/>
      <c r="DP242" s="357"/>
      <c r="DQ242" s="357"/>
      <c r="DR242" s="11"/>
      <c r="DS242" s="357"/>
      <c r="DT242" s="357"/>
      <c r="DU242" s="11"/>
      <c r="DV242" s="357"/>
      <c r="DW242" s="357"/>
      <c r="DX242" s="11"/>
      <c r="DY242" s="357"/>
      <c r="DZ242" s="357"/>
      <c r="EA242" s="357"/>
      <c r="EB242" s="11"/>
      <c r="EC242" s="11"/>
      <c r="ED242" s="11"/>
      <c r="EE242" s="121"/>
      <c r="EF242" s="11"/>
      <c r="EG242" s="11"/>
      <c r="EH242" s="11"/>
      <c r="EI242" s="11"/>
      <c r="EJ242" s="11"/>
      <c r="EK242" s="11"/>
      <c r="EL242" s="11"/>
      <c r="EM242" s="228"/>
      <c r="EN242" s="11"/>
      <c r="EO242" s="11"/>
      <c r="EP242" s="11"/>
      <c r="EQ242" s="11"/>
      <c r="ER242" s="376"/>
      <c r="ES242" s="376"/>
      <c r="ET242" s="376"/>
      <c r="EU242" s="376"/>
      <c r="EV242" s="376"/>
      <c r="EW242" s="376"/>
      <c r="EY242" s="372"/>
      <c r="EZ242" s="543"/>
      <c r="FC242" s="11"/>
      <c r="FD242" s="11"/>
      <c r="FE242" s="11"/>
      <c r="FF242" s="11"/>
      <c r="FG242" s="11"/>
      <c r="FH242" s="11"/>
      <c r="FI242" s="11"/>
      <c r="FJ242" s="11"/>
      <c r="FK242" s="11"/>
      <c r="FL242" s="11"/>
      <c r="FM242" s="11"/>
      <c r="FN242" s="11"/>
      <c r="FO242" s="11"/>
      <c r="FP242" s="11"/>
      <c r="FQ242" s="11"/>
      <c r="FR242" s="11"/>
      <c r="FS242" s="11"/>
      <c r="FT242" s="11"/>
      <c r="FU242" s="11"/>
      <c r="FV242" s="11"/>
      <c r="FW242" s="11"/>
      <c r="FX242" s="391"/>
      <c r="FY242" s="391"/>
      <c r="FZ242" s="21"/>
      <c r="GA242" s="11"/>
      <c r="GB242" s="21"/>
      <c r="GC242" s="11"/>
      <c r="GD242" s="11"/>
      <c r="GE242" s="11"/>
      <c r="GF242" s="11"/>
      <c r="GG242" s="11"/>
      <c r="GH242" s="11"/>
      <c r="GI242" s="11"/>
      <c r="GJ242" s="11"/>
      <c r="GK242" s="411"/>
      <c r="GL242" s="11"/>
      <c r="GM242" s="11"/>
      <c r="GN242" s="11"/>
      <c r="GO242" s="11"/>
      <c r="GP242" s="11"/>
      <c r="GQ242" s="11"/>
      <c r="GR242" s="11"/>
      <c r="GS242" s="11"/>
      <c r="GT242" s="11"/>
      <c r="GU242" s="11"/>
      <c r="GV242" s="11"/>
      <c r="GW242" s="11"/>
      <c r="GX242" s="11"/>
      <c r="GY242" s="11"/>
      <c r="GZ242" s="11"/>
      <c r="HA242" s="11"/>
      <c r="HB242" s="11"/>
      <c r="HC242" s="11"/>
      <c r="HD242" s="21"/>
      <c r="HE242" s="11"/>
      <c r="HF242" s="11"/>
      <c r="HG242" s="11"/>
      <c r="HH242" s="11"/>
      <c r="HI242" s="11"/>
      <c r="HJ242" s="11"/>
      <c r="HK242" s="11"/>
      <c r="HL242" s="11"/>
      <c r="HM242" s="11"/>
      <c r="HN242" s="11"/>
      <c r="HO242" s="11"/>
      <c r="HP242" s="11"/>
      <c r="HQ242" s="40"/>
      <c r="HR242" s="40"/>
      <c r="HS242" s="40"/>
      <c r="HT242" s="40"/>
      <c r="HU242" s="40"/>
      <c r="HV242" s="11"/>
      <c r="HW242" s="11"/>
      <c r="HX242" s="40"/>
    </row>
    <row r="243" spans="1:232" s="25" customFormat="1">
      <c r="A243" s="785"/>
      <c r="B243" s="11"/>
      <c r="C243" s="11"/>
      <c r="D243" s="11"/>
      <c r="E243" s="11"/>
      <c r="F243" s="11"/>
      <c r="G243" s="182"/>
      <c r="H243" s="20"/>
      <c r="I243" s="20"/>
      <c r="J243" s="20"/>
      <c r="K243" s="210"/>
      <c r="L243" s="135"/>
      <c r="M243" s="135"/>
      <c r="N243" s="135"/>
      <c r="O243" s="11"/>
      <c r="P243" s="11"/>
      <c r="Q243" s="11"/>
      <c r="R243" s="11"/>
      <c r="S243" s="11"/>
      <c r="T243" s="11"/>
      <c r="U243" s="11"/>
      <c r="V243" s="11"/>
      <c r="W243" s="11"/>
      <c r="X243" s="11"/>
      <c r="Y243" s="11"/>
      <c r="Z243" s="11"/>
      <c r="AA243" s="11"/>
      <c r="AB243" s="11"/>
      <c r="AC243" s="11"/>
      <c r="AD243" s="11"/>
      <c r="AE243" s="11"/>
      <c r="AF243" s="11"/>
      <c r="AG243" s="11"/>
      <c r="AH243" s="11"/>
      <c r="AI243" s="11"/>
      <c r="AJ243" s="480"/>
      <c r="AK243" s="121"/>
      <c r="AL243" s="591"/>
      <c r="AM243" s="11"/>
      <c r="AN243" s="11"/>
      <c r="AO243" s="11"/>
      <c r="AP243" s="11"/>
      <c r="AQ243" s="11"/>
      <c r="AR243" s="11"/>
      <c r="AS243" s="11"/>
      <c r="AT243" s="11"/>
      <c r="AU243" s="11"/>
      <c r="AV243" s="11"/>
      <c r="AW243" s="96"/>
      <c r="AX243" s="20"/>
      <c r="AY243" s="11"/>
      <c r="AZ243" s="11"/>
      <c r="BA243" s="11"/>
      <c r="BB243" s="11"/>
      <c r="BC243" s="11"/>
      <c r="BD243" s="11"/>
      <c r="BE243" s="11"/>
      <c r="BF243" s="11"/>
      <c r="BG243" s="11"/>
      <c r="BH243" s="11"/>
      <c r="BI243" s="11"/>
      <c r="BJ243" s="121"/>
      <c r="BK243" s="121"/>
      <c r="BL243" s="121"/>
      <c r="BM243" s="121"/>
      <c r="BN243" s="121"/>
      <c r="BO243" s="121"/>
      <c r="BP243" s="121"/>
      <c r="BQ243" s="121"/>
      <c r="BR243" s="645"/>
      <c r="BS243" s="121"/>
      <c r="BT243" s="121"/>
      <c r="BU243" s="121"/>
      <c r="BV243" s="121"/>
      <c r="BW243" s="121"/>
      <c r="BX243" s="121"/>
      <c r="BY243" s="121"/>
      <c r="BZ243" s="121"/>
      <c r="CA243" s="121"/>
      <c r="CB243" s="11"/>
      <c r="CC243" s="357"/>
      <c r="CD243" s="357"/>
      <c r="CE243" s="21"/>
      <c r="CF243" s="11"/>
      <c r="CG243" s="357"/>
      <c r="CH243" s="11"/>
      <c r="CI243" s="357"/>
      <c r="CJ243" s="11"/>
      <c r="CK243" s="11"/>
      <c r="CL243" s="11"/>
      <c r="CM243" s="11"/>
      <c r="CN243" s="11"/>
      <c r="CO243" s="357"/>
      <c r="CP243" s="357"/>
      <c r="CQ243" s="11"/>
      <c r="CR243" s="11"/>
      <c r="CS243" s="357"/>
      <c r="CT243" s="357"/>
      <c r="CU243" s="357"/>
      <c r="CV243" s="11"/>
      <c r="CW243" s="357"/>
      <c r="CX243" s="11"/>
      <c r="CY243" s="11"/>
      <c r="CZ243" s="11"/>
      <c r="DA243" s="11"/>
      <c r="DB243" s="157"/>
      <c r="DC243" s="11"/>
      <c r="DD243" s="357"/>
      <c r="DE243" s="357"/>
      <c r="DF243" s="21"/>
      <c r="DG243" s="357"/>
      <c r="DH243" s="357"/>
      <c r="DI243" s="11"/>
      <c r="DJ243" s="357"/>
      <c r="DK243" s="357"/>
      <c r="DL243" s="11"/>
      <c r="DM243" s="357"/>
      <c r="DN243" s="357"/>
      <c r="DO243" s="11"/>
      <c r="DP243" s="357"/>
      <c r="DQ243" s="357"/>
      <c r="DR243" s="11"/>
      <c r="DS243" s="357"/>
      <c r="DT243" s="357"/>
      <c r="DU243" s="11"/>
      <c r="DV243" s="357"/>
      <c r="DW243" s="357"/>
      <c r="DX243" s="11"/>
      <c r="DY243" s="357"/>
      <c r="DZ243" s="357"/>
      <c r="EA243" s="357"/>
      <c r="EB243" s="11"/>
      <c r="EC243" s="11"/>
      <c r="ED243" s="11"/>
      <c r="EE243" s="121"/>
      <c r="EF243" s="11"/>
      <c r="EG243" s="11"/>
      <c r="EH243" s="11"/>
      <c r="EI243" s="11"/>
      <c r="EJ243" s="11"/>
      <c r="EK243" s="11"/>
      <c r="EL243" s="11"/>
      <c r="EM243" s="228"/>
      <c r="EN243" s="11"/>
      <c r="EO243" s="11"/>
      <c r="EP243" s="11"/>
      <c r="EQ243" s="11"/>
      <c r="ER243" s="376"/>
      <c r="ES243" s="376"/>
      <c r="ET243" s="376"/>
      <c r="EU243" s="376"/>
      <c r="EV243" s="376"/>
      <c r="EW243" s="376"/>
      <c r="EY243" s="372"/>
      <c r="EZ243" s="543"/>
      <c r="FC243" s="11"/>
      <c r="FD243" s="11"/>
      <c r="FE243" s="11"/>
      <c r="FF243" s="11"/>
      <c r="FG243" s="11"/>
      <c r="FH243" s="11"/>
      <c r="FI243" s="11"/>
      <c r="FJ243" s="11"/>
      <c r="FK243" s="11"/>
      <c r="FL243" s="11"/>
      <c r="FM243" s="11"/>
      <c r="FN243" s="11"/>
      <c r="FO243" s="11"/>
      <c r="FP243" s="11"/>
      <c r="FQ243" s="11"/>
      <c r="FR243" s="11"/>
      <c r="FS243" s="11"/>
      <c r="FT243" s="11"/>
      <c r="FU243" s="11"/>
      <c r="FV243" s="11"/>
      <c r="FW243" s="11"/>
      <c r="FX243" s="391"/>
      <c r="FY243" s="391"/>
      <c r="FZ243" s="21"/>
      <c r="GA243" s="11"/>
      <c r="GB243" s="21"/>
      <c r="GC243" s="11"/>
      <c r="GD243" s="11"/>
      <c r="GE243" s="11"/>
      <c r="GF243" s="11"/>
      <c r="GG243" s="11"/>
      <c r="GH243" s="11"/>
      <c r="GI243" s="11"/>
      <c r="GJ243" s="11"/>
      <c r="GK243" s="411"/>
      <c r="GL243" s="11"/>
      <c r="GM243" s="11"/>
      <c r="GN243" s="11"/>
      <c r="GO243" s="11"/>
      <c r="GP243" s="11"/>
      <c r="GQ243" s="11"/>
      <c r="GR243" s="11"/>
      <c r="GS243" s="11"/>
      <c r="GT243" s="11"/>
      <c r="GU243" s="11"/>
      <c r="GV243" s="11"/>
      <c r="GW243" s="11"/>
      <c r="GX243" s="11"/>
      <c r="GY243" s="11"/>
      <c r="GZ243" s="11"/>
      <c r="HA243" s="11"/>
      <c r="HB243" s="11"/>
      <c r="HC243" s="11"/>
      <c r="HD243" s="21"/>
      <c r="HE243" s="11"/>
      <c r="HF243" s="11"/>
      <c r="HG243" s="11"/>
      <c r="HH243" s="11"/>
      <c r="HI243" s="11"/>
      <c r="HJ243" s="11"/>
      <c r="HK243" s="11"/>
      <c r="HL243" s="11"/>
      <c r="HM243" s="11"/>
      <c r="HN243" s="11"/>
      <c r="HO243" s="11"/>
      <c r="HP243" s="11"/>
      <c r="HQ243" s="40"/>
      <c r="HR243" s="40"/>
      <c r="HS243" s="40"/>
      <c r="HT243" s="40"/>
      <c r="HU243" s="40"/>
      <c r="HV243" s="11"/>
      <c r="HW243" s="11"/>
      <c r="HX243" s="40"/>
    </row>
    <row r="244" spans="1:232" s="25" customFormat="1">
      <c r="A244" s="785"/>
      <c r="B244" s="11"/>
      <c r="C244" s="11"/>
      <c r="D244" s="11"/>
      <c r="E244" s="11"/>
      <c r="F244" s="11"/>
      <c r="G244" s="182"/>
      <c r="H244" s="20"/>
      <c r="I244" s="20"/>
      <c r="J244" s="20"/>
      <c r="K244" s="210"/>
      <c r="L244" s="135"/>
      <c r="M244" s="135"/>
      <c r="N244" s="135"/>
      <c r="O244" s="11"/>
      <c r="P244" s="11"/>
      <c r="Q244" s="11"/>
      <c r="R244" s="11"/>
      <c r="S244" s="11"/>
      <c r="T244" s="11"/>
      <c r="U244" s="11"/>
      <c r="V244" s="11"/>
      <c r="W244" s="11"/>
      <c r="X244" s="11"/>
      <c r="Y244" s="11"/>
      <c r="Z244" s="11"/>
      <c r="AA244" s="11"/>
      <c r="AB244" s="11"/>
      <c r="AC244" s="11"/>
      <c r="AD244" s="11"/>
      <c r="AE244" s="11"/>
      <c r="AF244" s="11"/>
      <c r="AG244" s="11"/>
      <c r="AH244" s="11"/>
      <c r="AI244" s="11"/>
      <c r="AJ244" s="480"/>
      <c r="AK244" s="121"/>
      <c r="AL244" s="591"/>
      <c r="AM244" s="11"/>
      <c r="AN244" s="11"/>
      <c r="AO244" s="11"/>
      <c r="AP244" s="11"/>
      <c r="AQ244" s="11"/>
      <c r="AR244" s="11"/>
      <c r="AS244" s="11"/>
      <c r="AT244" s="11"/>
      <c r="AU244" s="11"/>
      <c r="AV244" s="11"/>
      <c r="AW244" s="96"/>
      <c r="AX244" s="20"/>
      <c r="AY244" s="11"/>
      <c r="AZ244" s="11"/>
      <c r="BA244" s="11"/>
      <c r="BB244" s="11"/>
      <c r="BC244" s="11"/>
      <c r="BD244" s="11"/>
      <c r="BE244" s="11"/>
      <c r="BF244" s="11"/>
      <c r="BG244" s="11"/>
      <c r="BH244" s="11"/>
      <c r="BI244" s="11"/>
      <c r="BJ244" s="121"/>
      <c r="BK244" s="121"/>
      <c r="BL244" s="121"/>
      <c r="BM244" s="121"/>
      <c r="BN244" s="121"/>
      <c r="BO244" s="121"/>
      <c r="BP244" s="121"/>
      <c r="BQ244" s="121"/>
      <c r="BR244" s="645"/>
      <c r="BS244" s="121"/>
      <c r="BT244" s="121"/>
      <c r="BU244" s="121"/>
      <c r="BV244" s="121"/>
      <c r="BW244" s="121"/>
      <c r="BX244" s="121"/>
      <c r="BY244" s="121"/>
      <c r="BZ244" s="121"/>
      <c r="CA244" s="121"/>
      <c r="CB244" s="11"/>
      <c r="CC244" s="357"/>
      <c r="CD244" s="357"/>
      <c r="CE244" s="21"/>
      <c r="CF244" s="11"/>
      <c r="CG244" s="357"/>
      <c r="CH244" s="11"/>
      <c r="CI244" s="357"/>
      <c r="CJ244" s="11"/>
      <c r="CK244" s="11"/>
      <c r="CL244" s="11"/>
      <c r="CM244" s="11"/>
      <c r="CN244" s="11"/>
      <c r="CO244" s="357"/>
      <c r="CP244" s="357"/>
      <c r="CQ244" s="11"/>
      <c r="CR244" s="11"/>
      <c r="CS244" s="357"/>
      <c r="CT244" s="357"/>
      <c r="CU244" s="357"/>
      <c r="CV244" s="11"/>
      <c r="CW244" s="357"/>
      <c r="CX244" s="11"/>
      <c r="CY244" s="11"/>
      <c r="CZ244" s="11"/>
      <c r="DA244" s="11"/>
      <c r="DB244" s="157"/>
      <c r="DC244" s="11"/>
      <c r="DD244" s="357"/>
      <c r="DE244" s="357"/>
      <c r="DF244" s="21"/>
      <c r="DG244" s="357"/>
      <c r="DH244" s="357"/>
      <c r="DI244" s="11"/>
      <c r="DJ244" s="357"/>
      <c r="DK244" s="357"/>
      <c r="DL244" s="11"/>
      <c r="DM244" s="357"/>
      <c r="DN244" s="357"/>
      <c r="DO244" s="11"/>
      <c r="DP244" s="357"/>
      <c r="DQ244" s="357"/>
      <c r="DR244" s="11"/>
      <c r="DS244" s="357"/>
      <c r="DT244" s="357"/>
      <c r="DU244" s="11"/>
      <c r="DV244" s="357"/>
      <c r="DW244" s="357"/>
      <c r="DX244" s="11"/>
      <c r="DY244" s="357"/>
      <c r="DZ244" s="357"/>
      <c r="EA244" s="357"/>
      <c r="EB244" s="11"/>
      <c r="EC244" s="11"/>
      <c r="ED244" s="11"/>
      <c r="EE244" s="121"/>
      <c r="EF244" s="11"/>
      <c r="EG244" s="11"/>
      <c r="EH244" s="11"/>
      <c r="EI244" s="11"/>
      <c r="EJ244" s="11"/>
      <c r="EK244" s="11"/>
      <c r="EL244" s="11"/>
      <c r="EM244" s="228"/>
      <c r="EN244" s="11"/>
      <c r="EO244" s="11"/>
      <c r="EP244" s="11"/>
      <c r="EQ244" s="11"/>
      <c r="ER244" s="376"/>
      <c r="ES244" s="376"/>
      <c r="ET244" s="376"/>
      <c r="EU244" s="376"/>
      <c r="EV244" s="376"/>
      <c r="EW244" s="376"/>
      <c r="EY244" s="372"/>
      <c r="EZ244" s="543"/>
      <c r="FC244" s="11"/>
      <c r="FD244" s="11"/>
      <c r="FE244" s="11"/>
      <c r="FF244" s="11"/>
      <c r="FG244" s="11"/>
      <c r="FH244" s="11"/>
      <c r="FI244" s="11"/>
      <c r="FJ244" s="11"/>
      <c r="FK244" s="11"/>
      <c r="FL244" s="11"/>
      <c r="FM244" s="11"/>
      <c r="FN244" s="11"/>
      <c r="FO244" s="11"/>
      <c r="FP244" s="11"/>
      <c r="FQ244" s="11"/>
      <c r="FR244" s="11"/>
      <c r="FS244" s="11"/>
      <c r="FT244" s="11"/>
      <c r="FU244" s="11"/>
      <c r="FV244" s="11"/>
      <c r="FW244" s="11"/>
      <c r="FX244" s="391"/>
      <c r="FY244" s="391"/>
      <c r="FZ244" s="21"/>
      <c r="GA244" s="11"/>
      <c r="GB244" s="21"/>
      <c r="GC244" s="11"/>
      <c r="GD244" s="11"/>
      <c r="GE244" s="11"/>
      <c r="GF244" s="11"/>
      <c r="GG244" s="11"/>
      <c r="GH244" s="11"/>
      <c r="GI244" s="11"/>
      <c r="GJ244" s="11"/>
      <c r="GK244" s="411"/>
      <c r="GL244" s="11"/>
      <c r="GM244" s="11"/>
      <c r="GN244" s="11"/>
      <c r="GO244" s="11"/>
      <c r="GP244" s="11"/>
      <c r="GQ244" s="11"/>
      <c r="GR244" s="11"/>
      <c r="GS244" s="11"/>
      <c r="GT244" s="11"/>
      <c r="GU244" s="11"/>
      <c r="GV244" s="11"/>
      <c r="GW244" s="11"/>
      <c r="GX244" s="11"/>
      <c r="GY244" s="11"/>
      <c r="GZ244" s="11"/>
      <c r="HA244" s="11"/>
      <c r="HB244" s="11"/>
      <c r="HC244" s="11"/>
      <c r="HD244" s="21"/>
      <c r="HE244" s="11"/>
      <c r="HF244" s="11"/>
      <c r="HG244" s="11"/>
      <c r="HH244" s="11"/>
      <c r="HI244" s="11"/>
      <c r="HJ244" s="11"/>
      <c r="HK244" s="11"/>
      <c r="HL244" s="11"/>
      <c r="HM244" s="11"/>
      <c r="HN244" s="11"/>
      <c r="HO244" s="11"/>
      <c r="HP244" s="11"/>
      <c r="HQ244" s="40"/>
      <c r="HR244" s="40"/>
      <c r="HS244" s="40"/>
      <c r="HT244" s="40"/>
      <c r="HU244" s="40"/>
      <c r="HV244" s="11"/>
      <c r="HW244" s="11"/>
      <c r="HX244" s="40"/>
    </row>
    <row r="245" spans="1:232" s="25" customFormat="1">
      <c r="A245" s="785"/>
      <c r="B245" s="11"/>
      <c r="C245" s="11"/>
      <c r="D245" s="11"/>
      <c r="E245" s="11"/>
      <c r="F245" s="11"/>
      <c r="G245" s="11"/>
      <c r="H245" s="11"/>
      <c r="I245" s="11"/>
      <c r="J245" s="11"/>
      <c r="K245" s="210"/>
      <c r="L245" s="135"/>
      <c r="M245" s="135"/>
      <c r="N245" s="135"/>
      <c r="O245" s="11"/>
      <c r="P245" s="11"/>
      <c r="Q245" s="11"/>
      <c r="R245" s="11"/>
      <c r="S245" s="11"/>
      <c r="T245" s="11"/>
      <c r="U245" s="11"/>
      <c r="V245" s="11"/>
      <c r="W245" s="11"/>
      <c r="X245" s="11"/>
      <c r="Y245" s="11"/>
      <c r="Z245" s="11"/>
      <c r="AA245" s="11"/>
      <c r="AB245" s="11"/>
      <c r="AC245" s="11"/>
      <c r="AD245" s="11"/>
      <c r="AE245" s="11"/>
      <c r="AF245" s="11"/>
      <c r="AG245" s="11"/>
      <c r="AH245" s="11"/>
      <c r="AI245" s="11"/>
      <c r="AJ245" s="480"/>
      <c r="AK245" s="121"/>
      <c r="AL245" s="591"/>
      <c r="AM245" s="11"/>
      <c r="AN245" s="11"/>
      <c r="AO245" s="11"/>
      <c r="AP245" s="11"/>
      <c r="AQ245" s="11"/>
      <c r="AR245" s="11"/>
      <c r="AS245" s="11"/>
      <c r="AT245" s="11"/>
      <c r="AU245" s="11"/>
      <c r="AV245" s="11"/>
      <c r="AW245" s="96"/>
      <c r="AX245" s="20"/>
      <c r="AY245" s="11"/>
      <c r="AZ245" s="11"/>
      <c r="BA245" s="11"/>
      <c r="BB245" s="11"/>
      <c r="BC245" s="11"/>
      <c r="BD245" s="11"/>
      <c r="BE245" s="11"/>
      <c r="BF245" s="11"/>
      <c r="BG245" s="11"/>
      <c r="BH245" s="11"/>
      <c r="BI245" s="11"/>
      <c r="BJ245" s="121"/>
      <c r="BK245" s="121"/>
      <c r="BL245" s="121"/>
      <c r="BM245" s="121"/>
      <c r="BN245" s="121"/>
      <c r="BO245" s="121"/>
      <c r="BP245" s="121"/>
      <c r="BQ245" s="121"/>
      <c r="BR245" s="645"/>
      <c r="BS245" s="121"/>
      <c r="BT245" s="121"/>
      <c r="BU245" s="121"/>
      <c r="BV245" s="121"/>
      <c r="BW245" s="121"/>
      <c r="BX245" s="121"/>
      <c r="BY245" s="121"/>
      <c r="BZ245" s="121"/>
      <c r="CA245" s="121"/>
      <c r="CB245" s="11"/>
      <c r="CC245" s="357"/>
      <c r="CD245" s="357"/>
      <c r="CE245" s="21"/>
      <c r="CF245" s="11"/>
      <c r="CG245" s="357"/>
      <c r="CH245" s="11"/>
      <c r="CI245" s="357"/>
      <c r="CJ245" s="11"/>
      <c r="CK245" s="11"/>
      <c r="CL245" s="11"/>
      <c r="CM245" s="11"/>
      <c r="CN245" s="11"/>
      <c r="CO245" s="357"/>
      <c r="CP245" s="357"/>
      <c r="CQ245" s="11"/>
      <c r="CR245" s="11"/>
      <c r="CS245" s="357"/>
      <c r="CT245" s="357"/>
      <c r="CU245" s="357"/>
      <c r="CV245" s="11"/>
      <c r="CW245" s="357"/>
      <c r="CX245" s="11"/>
      <c r="CY245" s="11"/>
      <c r="CZ245" s="11"/>
      <c r="DA245" s="11"/>
      <c r="DB245" s="157"/>
      <c r="DC245" s="11"/>
      <c r="DD245" s="357"/>
      <c r="DE245" s="357"/>
      <c r="DF245" s="21"/>
      <c r="DG245" s="357"/>
      <c r="DH245" s="357"/>
      <c r="DI245" s="11"/>
      <c r="DJ245" s="357"/>
      <c r="DK245" s="357"/>
      <c r="DL245" s="11"/>
      <c r="DM245" s="357"/>
      <c r="DN245" s="357"/>
      <c r="DO245" s="11"/>
      <c r="DP245" s="357"/>
      <c r="DQ245" s="357"/>
      <c r="DR245" s="11"/>
      <c r="DS245" s="357"/>
      <c r="DT245" s="357"/>
      <c r="DU245" s="11"/>
      <c r="DV245" s="357"/>
      <c r="DW245" s="357"/>
      <c r="DX245" s="11"/>
      <c r="DY245" s="357"/>
      <c r="DZ245" s="357"/>
      <c r="EA245" s="357"/>
      <c r="EB245" s="11"/>
      <c r="EC245" s="11"/>
      <c r="ED245" s="11"/>
      <c r="EE245" s="121"/>
      <c r="EF245" s="11"/>
      <c r="EG245" s="11"/>
      <c r="EH245" s="11"/>
      <c r="EI245" s="11"/>
      <c r="EJ245" s="11"/>
      <c r="EK245" s="11"/>
      <c r="EL245" s="11"/>
      <c r="EM245" s="228"/>
      <c r="EN245" s="11"/>
      <c r="EO245" s="11"/>
      <c r="EP245" s="11"/>
      <c r="EQ245" s="11"/>
      <c r="ER245" s="376"/>
      <c r="ES245" s="376"/>
      <c r="ET245" s="376"/>
      <c r="EU245" s="376"/>
      <c r="EV245" s="376"/>
      <c r="EW245" s="376"/>
      <c r="EY245" s="372"/>
      <c r="EZ245" s="543"/>
      <c r="FC245" s="11"/>
      <c r="FD245" s="11"/>
      <c r="FE245" s="11"/>
      <c r="FF245" s="11"/>
      <c r="FG245" s="11"/>
      <c r="FH245" s="11"/>
      <c r="FI245" s="11"/>
      <c r="FJ245" s="11"/>
      <c r="FK245" s="11"/>
      <c r="FL245" s="11"/>
      <c r="FM245" s="11"/>
      <c r="FN245" s="11"/>
      <c r="FO245" s="11"/>
      <c r="FP245" s="11"/>
      <c r="FQ245" s="11"/>
      <c r="FR245" s="11"/>
      <c r="FS245" s="11"/>
      <c r="FT245" s="11"/>
      <c r="FU245" s="11"/>
      <c r="FV245" s="11"/>
      <c r="FW245" s="11"/>
      <c r="FX245" s="391"/>
      <c r="FY245" s="391"/>
      <c r="FZ245" s="21"/>
      <c r="GA245" s="11"/>
      <c r="GB245" s="21"/>
      <c r="GC245" s="11"/>
      <c r="GD245" s="11"/>
      <c r="GE245" s="11"/>
      <c r="GF245" s="11"/>
      <c r="GG245" s="11"/>
      <c r="GH245" s="11"/>
      <c r="GI245" s="11"/>
      <c r="GJ245" s="11"/>
      <c r="GK245" s="411"/>
      <c r="GL245" s="11"/>
      <c r="GM245" s="11"/>
      <c r="GN245" s="11"/>
      <c r="GO245" s="11"/>
      <c r="GP245" s="11"/>
      <c r="GQ245" s="11"/>
      <c r="GR245" s="11"/>
      <c r="GS245" s="11"/>
      <c r="GT245" s="11"/>
      <c r="GU245" s="11"/>
      <c r="GV245" s="11"/>
      <c r="GW245" s="11"/>
      <c r="GX245" s="11"/>
      <c r="GY245" s="11"/>
      <c r="GZ245" s="11"/>
      <c r="HA245" s="11"/>
      <c r="HB245" s="11"/>
      <c r="HC245" s="11"/>
      <c r="HD245" s="21"/>
      <c r="HE245" s="11"/>
      <c r="HF245" s="11"/>
      <c r="HG245" s="11"/>
      <c r="HH245" s="11"/>
      <c r="HI245" s="11"/>
      <c r="HJ245" s="11"/>
      <c r="HK245" s="11"/>
      <c r="HL245" s="11"/>
      <c r="HM245" s="11"/>
      <c r="HN245" s="11"/>
      <c r="HO245" s="11"/>
      <c r="HP245" s="11"/>
      <c r="HQ245" s="40"/>
      <c r="HR245" s="40"/>
      <c r="HS245" s="40"/>
      <c r="HT245" s="40"/>
      <c r="HU245" s="40"/>
      <c r="HV245" s="11"/>
      <c r="HW245" s="11"/>
      <c r="HX245" s="40"/>
    </row>
    <row r="246" spans="1:232" s="25" customFormat="1">
      <c r="A246" s="785"/>
      <c r="B246" s="11"/>
      <c r="C246" s="11"/>
      <c r="D246" s="11"/>
      <c r="E246" s="11"/>
      <c r="F246" s="11"/>
      <c r="G246" s="11"/>
      <c r="H246" s="11"/>
      <c r="I246" s="11"/>
      <c r="J246" s="11"/>
      <c r="K246" s="210"/>
      <c r="L246" s="135"/>
      <c r="M246" s="135"/>
      <c r="N246" s="135"/>
      <c r="O246" s="11"/>
      <c r="P246" s="11"/>
      <c r="Q246" s="11"/>
      <c r="R246" s="11"/>
      <c r="S246" s="11"/>
      <c r="T246" s="11"/>
      <c r="U246" s="11"/>
      <c r="V246" s="11"/>
      <c r="W246" s="11"/>
      <c r="X246" s="11"/>
      <c r="Y246" s="11"/>
      <c r="Z246" s="11"/>
      <c r="AA246" s="11"/>
      <c r="AB246" s="11"/>
      <c r="AC246" s="11"/>
      <c r="AD246" s="11"/>
      <c r="AE246" s="11"/>
      <c r="AF246" s="11"/>
      <c r="AG246" s="11"/>
      <c r="AH246" s="11"/>
      <c r="AI246" s="11"/>
      <c r="AJ246" s="480"/>
      <c r="AK246" s="121"/>
      <c r="AL246" s="591"/>
      <c r="AM246" s="11"/>
      <c r="AN246" s="11"/>
      <c r="AO246" s="11"/>
      <c r="AP246" s="11"/>
      <c r="AQ246" s="11"/>
      <c r="AR246" s="11"/>
      <c r="AS246" s="11"/>
      <c r="AT246" s="11"/>
      <c r="AU246" s="11"/>
      <c r="AV246" s="11"/>
      <c r="AW246" s="96"/>
      <c r="AX246" s="20"/>
      <c r="AY246" s="11"/>
      <c r="AZ246" s="11"/>
      <c r="BA246" s="11"/>
      <c r="BB246" s="11"/>
      <c r="BC246" s="11"/>
      <c r="BD246" s="11"/>
      <c r="BE246" s="11"/>
      <c r="BF246" s="11"/>
      <c r="BG246" s="11"/>
      <c r="BH246" s="11"/>
      <c r="BI246" s="11"/>
      <c r="BJ246" s="121"/>
      <c r="BK246" s="121"/>
      <c r="BL246" s="121"/>
      <c r="BM246" s="121"/>
      <c r="BN246" s="121"/>
      <c r="BO246" s="121"/>
      <c r="BP246" s="121"/>
      <c r="BQ246" s="121"/>
      <c r="BR246" s="645"/>
      <c r="BS246" s="121"/>
      <c r="BT246" s="121"/>
      <c r="BU246" s="121"/>
      <c r="BV246" s="121"/>
      <c r="BW246" s="121"/>
      <c r="BX246" s="121"/>
      <c r="BY246" s="121"/>
      <c r="BZ246" s="121"/>
      <c r="CA246" s="121"/>
      <c r="CB246" s="11"/>
      <c r="CC246" s="357"/>
      <c r="CD246" s="357"/>
      <c r="CE246" s="21"/>
      <c r="CF246" s="11"/>
      <c r="CG246" s="357"/>
      <c r="CH246" s="11"/>
      <c r="CI246" s="357"/>
      <c r="CJ246" s="11"/>
      <c r="CK246" s="11"/>
      <c r="CL246" s="11"/>
      <c r="CM246" s="11"/>
      <c r="CN246" s="11"/>
      <c r="CO246" s="357"/>
      <c r="CP246" s="357"/>
      <c r="CQ246" s="11"/>
      <c r="CR246" s="11"/>
      <c r="CS246" s="357"/>
      <c r="CT246" s="357"/>
      <c r="CU246" s="357"/>
      <c r="CV246" s="11"/>
      <c r="CW246" s="357"/>
      <c r="CX246" s="11"/>
      <c r="CY246" s="11"/>
      <c r="CZ246" s="11"/>
      <c r="DA246" s="11"/>
      <c r="DB246" s="157"/>
      <c r="DC246" s="11"/>
      <c r="DD246" s="357"/>
      <c r="DE246" s="357"/>
      <c r="DF246" s="21"/>
      <c r="DG246" s="357"/>
      <c r="DH246" s="357"/>
      <c r="DI246" s="11"/>
      <c r="DJ246" s="357"/>
      <c r="DK246" s="357"/>
      <c r="DL246" s="11"/>
      <c r="DM246" s="357"/>
      <c r="DN246" s="357"/>
      <c r="DO246" s="11"/>
      <c r="DP246" s="357"/>
      <c r="DQ246" s="357"/>
      <c r="DR246" s="11"/>
      <c r="DS246" s="357"/>
      <c r="DT246" s="357"/>
      <c r="DU246" s="11"/>
      <c r="DV246" s="357"/>
      <c r="DW246" s="357"/>
      <c r="DX246" s="11"/>
      <c r="DY246" s="357"/>
      <c r="DZ246" s="357"/>
      <c r="EA246" s="357"/>
      <c r="EB246" s="11"/>
      <c r="EC246" s="11"/>
      <c r="ED246" s="11"/>
      <c r="EE246" s="121"/>
      <c r="EF246" s="11"/>
      <c r="EG246" s="11"/>
      <c r="EH246" s="11"/>
      <c r="EI246" s="11"/>
      <c r="EJ246" s="11"/>
      <c r="EK246" s="11"/>
      <c r="EL246" s="11"/>
      <c r="EM246" s="228"/>
      <c r="EN246" s="11"/>
      <c r="EO246" s="11"/>
      <c r="EP246" s="11"/>
      <c r="EQ246" s="11"/>
      <c r="ER246" s="376"/>
      <c r="ES246" s="376"/>
      <c r="ET246" s="376"/>
      <c r="EU246" s="376"/>
      <c r="EV246" s="376"/>
      <c r="EW246" s="376"/>
      <c r="EY246" s="372"/>
      <c r="EZ246" s="543"/>
      <c r="FC246" s="11"/>
      <c r="FD246" s="11"/>
      <c r="FE246" s="11"/>
      <c r="FF246" s="11"/>
      <c r="FG246" s="11"/>
      <c r="FH246" s="11"/>
      <c r="FI246" s="11"/>
      <c r="FJ246" s="11"/>
      <c r="FK246" s="11"/>
      <c r="FL246" s="11"/>
      <c r="FM246" s="11"/>
      <c r="FN246" s="11"/>
      <c r="FO246" s="11"/>
      <c r="FP246" s="11"/>
      <c r="FQ246" s="11"/>
      <c r="FR246" s="11"/>
      <c r="FS246" s="11"/>
      <c r="FT246" s="11"/>
      <c r="FU246" s="11"/>
      <c r="FV246" s="11"/>
      <c r="FW246" s="11"/>
      <c r="FX246" s="391"/>
      <c r="FY246" s="391"/>
      <c r="FZ246" s="21"/>
      <c r="GA246" s="11"/>
      <c r="GB246" s="21"/>
      <c r="GC246" s="11"/>
      <c r="GD246" s="11"/>
      <c r="GE246" s="11"/>
      <c r="GF246" s="11"/>
      <c r="GG246" s="11"/>
      <c r="GH246" s="11"/>
      <c r="GI246" s="11"/>
      <c r="GJ246" s="11"/>
      <c r="GK246" s="411"/>
      <c r="GL246" s="11"/>
      <c r="GM246" s="11"/>
      <c r="GN246" s="11"/>
      <c r="GO246" s="11"/>
      <c r="GP246" s="11"/>
      <c r="GQ246" s="11"/>
      <c r="GR246" s="11"/>
      <c r="GS246" s="11"/>
      <c r="GT246" s="11"/>
      <c r="GU246" s="11"/>
      <c r="GV246" s="11"/>
      <c r="GW246" s="11"/>
      <c r="GX246" s="11"/>
      <c r="GY246" s="11"/>
      <c r="GZ246" s="11"/>
      <c r="HA246" s="11"/>
      <c r="HB246" s="11"/>
      <c r="HC246" s="11"/>
      <c r="HD246" s="21"/>
      <c r="HE246" s="11"/>
      <c r="HF246" s="11"/>
      <c r="HG246" s="11"/>
      <c r="HH246" s="11"/>
      <c r="HI246" s="11"/>
      <c r="HJ246" s="11"/>
      <c r="HK246" s="11"/>
      <c r="HL246" s="11"/>
      <c r="HM246" s="11"/>
      <c r="HN246" s="11"/>
      <c r="HO246" s="11"/>
      <c r="HP246" s="11"/>
      <c r="HQ246" s="40"/>
      <c r="HR246" s="40"/>
      <c r="HS246" s="40"/>
      <c r="HT246" s="40"/>
      <c r="HU246" s="40"/>
      <c r="HV246" s="11"/>
      <c r="HW246" s="11"/>
      <c r="HX246" s="40"/>
    </row>
    <row r="247" spans="1:232" s="25" customFormat="1">
      <c r="A247" s="785"/>
      <c r="B247" s="11"/>
      <c r="C247" s="11"/>
      <c r="D247" s="11"/>
      <c r="E247" s="11"/>
      <c r="F247" s="11"/>
      <c r="G247" s="11"/>
      <c r="H247" s="11"/>
      <c r="I247" s="11"/>
      <c r="J247" s="11"/>
      <c r="K247" s="210"/>
      <c r="L247" s="135"/>
      <c r="M247" s="135"/>
      <c r="N247" s="135"/>
      <c r="O247" s="11"/>
      <c r="P247" s="11"/>
      <c r="Q247" s="11"/>
      <c r="R247" s="11"/>
      <c r="S247" s="11"/>
      <c r="T247" s="11"/>
      <c r="U247" s="11"/>
      <c r="V247" s="11"/>
      <c r="W247" s="11"/>
      <c r="X247" s="11"/>
      <c r="Y247" s="11"/>
      <c r="Z247" s="11"/>
      <c r="AA247" s="11"/>
      <c r="AB247" s="11"/>
      <c r="AC247" s="11"/>
      <c r="AD247" s="11"/>
      <c r="AE247" s="11"/>
      <c r="AF247" s="11"/>
      <c r="AG247" s="11"/>
      <c r="AH247" s="11"/>
      <c r="AI247" s="11"/>
      <c r="AJ247" s="480"/>
      <c r="AK247" s="121"/>
      <c r="AL247" s="591"/>
      <c r="AM247" s="11"/>
      <c r="AN247" s="11"/>
      <c r="AO247" s="11"/>
      <c r="AP247" s="11"/>
      <c r="AQ247" s="11"/>
      <c r="AR247" s="11"/>
      <c r="AS247" s="11"/>
      <c r="AT247" s="11"/>
      <c r="AU247" s="11"/>
      <c r="AV247" s="11"/>
      <c r="AW247" s="96"/>
      <c r="AX247" s="20"/>
      <c r="AY247" s="11"/>
      <c r="AZ247" s="11"/>
      <c r="BA247" s="11"/>
      <c r="BB247" s="11"/>
      <c r="BC247" s="11"/>
      <c r="BD247" s="11"/>
      <c r="BE247" s="11"/>
      <c r="BF247" s="11"/>
      <c r="BG247" s="11"/>
      <c r="BH247" s="11"/>
      <c r="BI247" s="11"/>
      <c r="BJ247" s="121"/>
      <c r="BK247" s="121"/>
      <c r="BL247" s="121"/>
      <c r="BM247" s="121"/>
      <c r="BN247" s="121"/>
      <c r="BO247" s="121"/>
      <c r="BP247" s="121"/>
      <c r="BQ247" s="121"/>
      <c r="BR247" s="645"/>
      <c r="BS247" s="121"/>
      <c r="BT247" s="121"/>
      <c r="BU247" s="121"/>
      <c r="BV247" s="121"/>
      <c r="BW247" s="121"/>
      <c r="BX247" s="121"/>
      <c r="BY247" s="121"/>
      <c r="BZ247" s="121"/>
      <c r="CA247" s="121"/>
      <c r="CB247" s="11"/>
      <c r="CC247" s="357"/>
      <c r="CD247" s="357"/>
      <c r="CE247" s="21"/>
      <c r="CF247" s="11"/>
      <c r="CG247" s="357"/>
      <c r="CH247" s="11"/>
      <c r="CI247" s="357"/>
      <c r="CJ247" s="11"/>
      <c r="CK247" s="11"/>
      <c r="CL247" s="11"/>
      <c r="CM247" s="11"/>
      <c r="CN247" s="11"/>
      <c r="CO247" s="357"/>
      <c r="CP247" s="357"/>
      <c r="CQ247" s="11"/>
      <c r="CR247" s="11"/>
      <c r="CS247" s="357"/>
      <c r="CT247" s="357"/>
      <c r="CU247" s="357"/>
      <c r="CV247" s="11"/>
      <c r="CW247" s="357"/>
      <c r="CX247" s="11"/>
      <c r="CY247" s="11"/>
      <c r="CZ247" s="11"/>
      <c r="DA247" s="11"/>
      <c r="DB247" s="157"/>
      <c r="DC247" s="11"/>
      <c r="DD247" s="357"/>
      <c r="DE247" s="357"/>
      <c r="DF247" s="21"/>
      <c r="DG247" s="357"/>
      <c r="DH247" s="357"/>
      <c r="DI247" s="11"/>
      <c r="DJ247" s="357"/>
      <c r="DK247" s="357"/>
      <c r="DL247" s="11"/>
      <c r="DM247" s="357"/>
      <c r="DN247" s="357"/>
      <c r="DO247" s="11"/>
      <c r="DP247" s="357"/>
      <c r="DQ247" s="357"/>
      <c r="DR247" s="11"/>
      <c r="DS247" s="357"/>
      <c r="DT247" s="357"/>
      <c r="DU247" s="11"/>
      <c r="DV247" s="357"/>
      <c r="DW247" s="357"/>
      <c r="DX247" s="11"/>
      <c r="DY247" s="357"/>
      <c r="DZ247" s="357"/>
      <c r="EA247" s="357"/>
      <c r="EB247" s="11"/>
      <c r="EC247" s="11"/>
      <c r="ED247" s="11"/>
      <c r="EE247" s="121"/>
      <c r="EF247" s="11"/>
      <c r="EG247" s="11"/>
      <c r="EH247" s="11"/>
      <c r="EI247" s="11"/>
      <c r="EJ247" s="11"/>
      <c r="EK247" s="11"/>
      <c r="EL247" s="11"/>
      <c r="EM247" s="228"/>
      <c r="EN247" s="11"/>
      <c r="EO247" s="11"/>
      <c r="EP247" s="11"/>
      <c r="EQ247" s="11"/>
      <c r="ER247" s="376"/>
      <c r="ES247" s="376"/>
      <c r="ET247" s="376"/>
      <c r="EU247" s="376"/>
      <c r="EV247" s="376"/>
      <c r="EW247" s="376"/>
      <c r="EY247" s="372"/>
      <c r="EZ247" s="543"/>
      <c r="FC247" s="11"/>
      <c r="FD247" s="11"/>
      <c r="FE247" s="11"/>
      <c r="FF247" s="11"/>
      <c r="FG247" s="11"/>
      <c r="FH247" s="11"/>
      <c r="FI247" s="11"/>
      <c r="FJ247" s="11"/>
      <c r="FK247" s="11"/>
      <c r="FL247" s="11"/>
      <c r="FM247" s="11"/>
      <c r="FN247" s="11"/>
      <c r="FO247" s="11"/>
      <c r="FP247" s="11"/>
      <c r="FQ247" s="11"/>
      <c r="FR247" s="11"/>
      <c r="FS247" s="11"/>
      <c r="FT247" s="11"/>
      <c r="FU247" s="11"/>
      <c r="FV247" s="11"/>
      <c r="FW247" s="11"/>
      <c r="FX247" s="391"/>
      <c r="FY247" s="391"/>
      <c r="FZ247" s="21"/>
      <c r="GA247" s="11"/>
      <c r="GB247" s="21"/>
      <c r="GC247" s="11"/>
      <c r="GD247" s="11"/>
      <c r="GE247" s="11"/>
      <c r="GF247" s="11"/>
      <c r="GG247" s="11"/>
      <c r="GH247" s="11"/>
      <c r="GI247" s="11"/>
      <c r="GJ247" s="11"/>
      <c r="GK247" s="411"/>
      <c r="GL247" s="11"/>
      <c r="GM247" s="11"/>
      <c r="GN247" s="11"/>
      <c r="GO247" s="11"/>
      <c r="GP247" s="11"/>
      <c r="GQ247" s="11"/>
      <c r="GR247" s="11"/>
      <c r="GS247" s="11"/>
      <c r="GT247" s="11"/>
      <c r="GU247" s="11"/>
      <c r="GV247" s="11"/>
      <c r="GW247" s="11"/>
      <c r="GX247" s="11"/>
      <c r="GY247" s="11"/>
      <c r="GZ247" s="11"/>
      <c r="HA247" s="11"/>
      <c r="HB247" s="11"/>
      <c r="HC247" s="11"/>
      <c r="HD247" s="21"/>
      <c r="HE247" s="11"/>
      <c r="HF247" s="11"/>
      <c r="HG247" s="11"/>
      <c r="HH247" s="11"/>
      <c r="HI247" s="11"/>
      <c r="HJ247" s="11"/>
      <c r="HK247" s="11"/>
      <c r="HL247" s="11"/>
      <c r="HM247" s="11"/>
      <c r="HN247" s="11"/>
      <c r="HO247" s="11"/>
      <c r="HP247" s="11"/>
      <c r="HQ247" s="40"/>
      <c r="HR247" s="40"/>
      <c r="HS247" s="40"/>
      <c r="HT247" s="40"/>
      <c r="HU247" s="40"/>
      <c r="HV247" s="11"/>
      <c r="HW247" s="11"/>
      <c r="HX247" s="40"/>
    </row>
    <row r="248" spans="1:232" s="25" customFormat="1">
      <c r="A248" s="785"/>
      <c r="B248" s="11"/>
      <c r="C248" s="11"/>
      <c r="D248" s="11"/>
      <c r="E248" s="11"/>
      <c r="F248" s="11"/>
      <c r="G248" s="11"/>
      <c r="H248" s="11"/>
      <c r="I248" s="11"/>
      <c r="J248" s="11"/>
      <c r="K248" s="210"/>
      <c r="L248" s="135"/>
      <c r="M248" s="135"/>
      <c r="N248" s="135"/>
      <c r="O248" s="11"/>
      <c r="P248" s="11"/>
      <c r="Q248" s="11"/>
      <c r="R248" s="11"/>
      <c r="S248" s="11"/>
      <c r="T248" s="11"/>
      <c r="U248" s="11"/>
      <c r="V248" s="11"/>
      <c r="W248" s="11"/>
      <c r="X248" s="11"/>
      <c r="Y248" s="11"/>
      <c r="Z248" s="11"/>
      <c r="AA248" s="11"/>
      <c r="AB248" s="11"/>
      <c r="AC248" s="11"/>
      <c r="AD248" s="11"/>
      <c r="AE248" s="11"/>
      <c r="AF248" s="11"/>
      <c r="AG248" s="11"/>
      <c r="AH248" s="11"/>
      <c r="AI248" s="11"/>
      <c r="AJ248" s="480"/>
      <c r="AK248" s="121"/>
      <c r="AL248" s="591"/>
      <c r="AM248" s="11"/>
      <c r="AN248" s="11"/>
      <c r="AO248" s="11"/>
      <c r="AP248" s="11"/>
      <c r="AQ248" s="11"/>
      <c r="AR248" s="11"/>
      <c r="AS248" s="11"/>
      <c r="AT248" s="11"/>
      <c r="AU248" s="11"/>
      <c r="AV248" s="11"/>
      <c r="AW248" s="96"/>
      <c r="AX248" s="20"/>
      <c r="AY248" s="11"/>
      <c r="AZ248" s="11"/>
      <c r="BA248" s="11"/>
      <c r="BB248" s="11"/>
      <c r="BC248" s="11"/>
      <c r="BD248" s="11"/>
      <c r="BE248" s="11"/>
      <c r="BF248" s="11"/>
      <c r="BG248" s="11"/>
      <c r="BH248" s="11"/>
      <c r="BI248" s="11"/>
      <c r="BJ248" s="121"/>
      <c r="BK248" s="121"/>
      <c r="BL248" s="121"/>
      <c r="BM248" s="121"/>
      <c r="BN248" s="121"/>
      <c r="BO248" s="121"/>
      <c r="BP248" s="121"/>
      <c r="BQ248" s="121"/>
      <c r="BR248" s="645"/>
      <c r="BS248" s="121"/>
      <c r="BT248" s="121"/>
      <c r="BU248" s="121"/>
      <c r="BV248" s="121"/>
      <c r="BW248" s="121"/>
      <c r="BX248" s="121"/>
      <c r="BY248" s="121"/>
      <c r="BZ248" s="121"/>
      <c r="CA248" s="121"/>
      <c r="CB248" s="11"/>
      <c r="CC248" s="357"/>
      <c r="CD248" s="357"/>
      <c r="CE248" s="21"/>
      <c r="CF248" s="11"/>
      <c r="CG248" s="357"/>
      <c r="CH248" s="11"/>
      <c r="CI248" s="357"/>
      <c r="CJ248" s="11"/>
      <c r="CK248" s="11"/>
      <c r="CL248" s="11"/>
      <c r="CM248" s="11"/>
      <c r="CN248" s="11"/>
      <c r="CO248" s="357"/>
      <c r="CP248" s="357"/>
      <c r="CQ248" s="11"/>
      <c r="CR248" s="11"/>
      <c r="CS248" s="357"/>
      <c r="CT248" s="357"/>
      <c r="CU248" s="357"/>
      <c r="CV248" s="11"/>
      <c r="CW248" s="357"/>
      <c r="CX248" s="11"/>
      <c r="CY248" s="11"/>
      <c r="CZ248" s="11"/>
      <c r="DA248" s="11"/>
      <c r="DB248" s="157"/>
      <c r="DC248" s="11"/>
      <c r="DD248" s="357"/>
      <c r="DE248" s="357"/>
      <c r="DF248" s="21"/>
      <c r="DG248" s="357"/>
      <c r="DH248" s="357"/>
      <c r="DI248" s="11"/>
      <c r="DJ248" s="357"/>
      <c r="DK248" s="357"/>
      <c r="DL248" s="11"/>
      <c r="DM248" s="357"/>
      <c r="DN248" s="357"/>
      <c r="DO248" s="11"/>
      <c r="DP248" s="357"/>
      <c r="DQ248" s="357"/>
      <c r="DR248" s="11"/>
      <c r="DS248" s="357"/>
      <c r="DT248" s="357"/>
      <c r="DU248" s="11"/>
      <c r="DV248" s="357"/>
      <c r="DW248" s="357"/>
      <c r="DX248" s="11"/>
      <c r="DY248" s="357"/>
      <c r="DZ248" s="357"/>
      <c r="EA248" s="357"/>
      <c r="EB248" s="11"/>
      <c r="EC248" s="11"/>
      <c r="ED248" s="11"/>
      <c r="EE248" s="121"/>
      <c r="EF248" s="11"/>
      <c r="EG248" s="11"/>
      <c r="EH248" s="11"/>
      <c r="EI248" s="11"/>
      <c r="EJ248" s="11"/>
      <c r="EK248" s="11"/>
      <c r="EL248" s="11"/>
      <c r="EM248" s="228"/>
      <c r="EN248" s="11"/>
      <c r="EO248" s="11"/>
      <c r="EP248" s="11"/>
      <c r="EQ248" s="11"/>
      <c r="ER248" s="376"/>
      <c r="ES248" s="376"/>
      <c r="ET248" s="376"/>
      <c r="EU248" s="376"/>
      <c r="EV248" s="376"/>
      <c r="EW248" s="376"/>
      <c r="EY248" s="372"/>
      <c r="EZ248" s="543"/>
      <c r="FC248" s="11"/>
      <c r="FD248" s="11"/>
      <c r="FE248" s="11"/>
      <c r="FF248" s="11"/>
      <c r="FG248" s="11"/>
      <c r="FH248" s="11"/>
      <c r="FI248" s="11"/>
      <c r="FJ248" s="11"/>
      <c r="FK248" s="11"/>
      <c r="FL248" s="11"/>
      <c r="FM248" s="11"/>
      <c r="FN248" s="11"/>
      <c r="FO248" s="11"/>
      <c r="FP248" s="11"/>
      <c r="FQ248" s="11"/>
      <c r="FR248" s="11"/>
      <c r="FS248" s="11"/>
      <c r="FT248" s="11"/>
      <c r="FU248" s="11"/>
      <c r="FV248" s="11"/>
      <c r="FW248" s="11"/>
      <c r="FX248" s="391"/>
      <c r="FY248" s="391"/>
      <c r="FZ248" s="21"/>
      <c r="GA248" s="11"/>
      <c r="GB248" s="21"/>
      <c r="GC248" s="11"/>
      <c r="GD248" s="11"/>
      <c r="GE248" s="11"/>
      <c r="GF248" s="11"/>
      <c r="GG248" s="11"/>
      <c r="GH248" s="11"/>
      <c r="GI248" s="11"/>
      <c r="GJ248" s="11"/>
      <c r="GK248" s="411"/>
      <c r="GL248" s="11"/>
      <c r="GM248" s="11"/>
      <c r="GN248" s="11"/>
      <c r="GO248" s="11"/>
      <c r="GP248" s="11"/>
      <c r="GQ248" s="11"/>
      <c r="GR248" s="11"/>
      <c r="GS248" s="11"/>
      <c r="GT248" s="11"/>
      <c r="GU248" s="11"/>
      <c r="GV248" s="11"/>
      <c r="GW248" s="11"/>
      <c r="GX248" s="11"/>
      <c r="GY248" s="11"/>
      <c r="GZ248" s="11"/>
      <c r="HA248" s="11"/>
      <c r="HB248" s="11"/>
      <c r="HC248" s="11"/>
      <c r="HD248" s="21"/>
      <c r="HE248" s="11"/>
      <c r="HF248" s="11"/>
      <c r="HG248" s="11"/>
      <c r="HH248" s="11"/>
      <c r="HI248" s="11"/>
      <c r="HJ248" s="11"/>
      <c r="HK248" s="11"/>
      <c r="HL248" s="11"/>
      <c r="HM248" s="11"/>
      <c r="HN248" s="11"/>
      <c r="HO248" s="11"/>
      <c r="HP248" s="11"/>
      <c r="HQ248" s="40"/>
      <c r="HR248" s="40"/>
      <c r="HS248" s="40"/>
      <c r="HT248" s="40"/>
      <c r="HU248" s="40"/>
      <c r="HV248" s="11"/>
      <c r="HW248" s="11"/>
      <c r="HX248" s="40"/>
    </row>
    <row r="249" spans="1:232" s="25" customFormat="1">
      <c r="A249" s="785"/>
      <c r="B249" s="11"/>
      <c r="C249" s="11"/>
      <c r="D249" s="11"/>
      <c r="E249" s="11"/>
      <c r="F249" s="11"/>
      <c r="G249" s="11"/>
      <c r="H249" s="11"/>
      <c r="I249" s="11"/>
      <c r="J249" s="11"/>
      <c r="K249" s="210"/>
      <c r="L249" s="135"/>
      <c r="M249" s="135"/>
      <c r="N249" s="135"/>
      <c r="O249" s="11"/>
      <c r="P249" s="11"/>
      <c r="Q249" s="11"/>
      <c r="R249" s="11"/>
      <c r="S249" s="11"/>
      <c r="T249" s="11"/>
      <c r="U249" s="11"/>
      <c r="V249" s="11"/>
      <c r="W249" s="11"/>
      <c r="X249" s="11"/>
      <c r="Y249" s="11"/>
      <c r="Z249" s="11"/>
      <c r="AA249" s="11"/>
      <c r="AB249" s="11"/>
      <c r="AC249" s="11"/>
      <c r="AD249" s="11"/>
      <c r="AE249" s="11"/>
      <c r="AF249" s="11"/>
      <c r="AG249" s="11"/>
      <c r="AH249" s="11"/>
      <c r="AI249" s="11"/>
      <c r="AJ249" s="480"/>
      <c r="AK249" s="121"/>
      <c r="AL249" s="591"/>
      <c r="AM249" s="11"/>
      <c r="AN249" s="11"/>
      <c r="AO249" s="11"/>
      <c r="AP249" s="11"/>
      <c r="AQ249" s="11"/>
      <c r="AR249" s="11"/>
      <c r="AS249" s="11"/>
      <c r="AT249" s="11"/>
      <c r="AU249" s="11"/>
      <c r="AV249" s="11"/>
      <c r="AW249" s="96"/>
      <c r="AX249" s="20"/>
      <c r="AY249" s="11"/>
      <c r="AZ249" s="11"/>
      <c r="BA249" s="11"/>
      <c r="BB249" s="11"/>
      <c r="BC249" s="11"/>
      <c r="BD249" s="11"/>
      <c r="BE249" s="11"/>
      <c r="BF249" s="11"/>
      <c r="BG249" s="11"/>
      <c r="BH249" s="11"/>
      <c r="BI249" s="11"/>
      <c r="BJ249" s="121"/>
      <c r="BK249" s="121"/>
      <c r="BL249" s="121"/>
      <c r="BM249" s="121"/>
      <c r="BN249" s="121"/>
      <c r="BO249" s="121"/>
      <c r="BP249" s="121"/>
      <c r="BQ249" s="121"/>
      <c r="BR249" s="645"/>
      <c r="BS249" s="121"/>
      <c r="BT249" s="121"/>
      <c r="BU249" s="121"/>
      <c r="BV249" s="121"/>
      <c r="BW249" s="121"/>
      <c r="BX249" s="121"/>
      <c r="BY249" s="121"/>
      <c r="BZ249" s="121"/>
      <c r="CA249" s="121"/>
      <c r="CB249" s="11"/>
      <c r="CC249" s="357"/>
      <c r="CD249" s="357"/>
      <c r="CE249" s="21"/>
      <c r="CF249" s="11"/>
      <c r="CG249" s="357"/>
      <c r="CH249" s="11"/>
      <c r="CI249" s="357"/>
      <c r="CJ249" s="11"/>
      <c r="CK249" s="11"/>
      <c r="CL249" s="11"/>
      <c r="CM249" s="11"/>
      <c r="CN249" s="11"/>
      <c r="CO249" s="357"/>
      <c r="CP249" s="357"/>
      <c r="CQ249" s="11"/>
      <c r="CR249" s="11"/>
      <c r="CS249" s="357"/>
      <c r="CT249" s="357"/>
      <c r="CU249" s="357"/>
      <c r="CV249" s="11"/>
      <c r="CW249" s="357"/>
      <c r="CX249" s="11"/>
      <c r="CY249" s="11"/>
      <c r="CZ249" s="11"/>
      <c r="DA249" s="11"/>
      <c r="DB249" s="157"/>
      <c r="DC249" s="11"/>
      <c r="DD249" s="357"/>
      <c r="DE249" s="357"/>
      <c r="DF249" s="21"/>
      <c r="DG249" s="357"/>
      <c r="DH249" s="357"/>
      <c r="DI249" s="11"/>
      <c r="DJ249" s="357"/>
      <c r="DK249" s="357"/>
      <c r="DL249" s="11"/>
      <c r="DM249" s="357"/>
      <c r="DN249" s="357"/>
      <c r="DO249" s="11"/>
      <c r="DP249" s="357"/>
      <c r="DQ249" s="357"/>
      <c r="DR249" s="11"/>
      <c r="DS249" s="357"/>
      <c r="DT249" s="357"/>
      <c r="DU249" s="11"/>
      <c r="DV249" s="357"/>
      <c r="DW249" s="357"/>
      <c r="DX249" s="11"/>
      <c r="DY249" s="357"/>
      <c r="DZ249" s="357"/>
      <c r="EA249" s="357"/>
      <c r="EB249" s="11"/>
      <c r="EC249" s="11"/>
      <c r="ED249" s="11"/>
      <c r="EE249" s="121"/>
      <c r="EF249" s="11"/>
      <c r="EG249" s="11"/>
      <c r="EH249" s="11"/>
      <c r="EI249" s="11"/>
      <c r="EJ249" s="11"/>
      <c r="EK249" s="11"/>
      <c r="EL249" s="11"/>
      <c r="EM249" s="228"/>
      <c r="EN249" s="11"/>
      <c r="EO249" s="11"/>
      <c r="EP249" s="11"/>
      <c r="EQ249" s="11"/>
      <c r="ER249" s="376"/>
      <c r="ES249" s="376"/>
      <c r="ET249" s="376"/>
      <c r="EU249" s="376"/>
      <c r="EV249" s="376"/>
      <c r="EW249" s="376"/>
      <c r="EY249" s="372"/>
      <c r="EZ249" s="543"/>
      <c r="FC249" s="11"/>
      <c r="FD249" s="11"/>
      <c r="FE249" s="11"/>
      <c r="FF249" s="11"/>
      <c r="FG249" s="11"/>
      <c r="FH249" s="11"/>
      <c r="FI249" s="11"/>
      <c r="FJ249" s="11"/>
      <c r="FK249" s="11"/>
      <c r="FL249" s="11"/>
      <c r="FM249" s="11"/>
      <c r="FN249" s="11"/>
      <c r="FO249" s="11"/>
      <c r="FP249" s="11"/>
      <c r="FQ249" s="11"/>
      <c r="FR249" s="11"/>
      <c r="FS249" s="11"/>
      <c r="FT249" s="11"/>
      <c r="FU249" s="11"/>
      <c r="FV249" s="11"/>
      <c r="FW249" s="11"/>
      <c r="FX249" s="391"/>
      <c r="FY249" s="391"/>
      <c r="FZ249" s="21"/>
      <c r="GA249" s="11"/>
      <c r="GB249" s="21"/>
      <c r="GC249" s="11"/>
      <c r="GD249" s="11"/>
      <c r="GE249" s="11"/>
      <c r="GF249" s="11"/>
      <c r="GG249" s="11"/>
      <c r="GH249" s="11"/>
      <c r="GI249" s="11"/>
      <c r="GJ249" s="11"/>
      <c r="GK249" s="411"/>
      <c r="GL249" s="11"/>
      <c r="GM249" s="11"/>
      <c r="GN249" s="11"/>
      <c r="GO249" s="11"/>
      <c r="GP249" s="11"/>
      <c r="GQ249" s="11"/>
      <c r="GR249" s="11"/>
      <c r="GS249" s="11"/>
      <c r="GT249" s="11"/>
      <c r="GU249" s="11"/>
      <c r="GV249" s="11"/>
      <c r="GW249" s="11"/>
      <c r="GX249" s="11"/>
      <c r="GY249" s="11"/>
      <c r="GZ249" s="11"/>
      <c r="HA249" s="11"/>
      <c r="HB249" s="11"/>
      <c r="HC249" s="11"/>
      <c r="HD249" s="21"/>
      <c r="HE249" s="11"/>
      <c r="HF249" s="11"/>
      <c r="HG249" s="11"/>
      <c r="HH249" s="11"/>
      <c r="HI249" s="11"/>
      <c r="HJ249" s="11"/>
      <c r="HK249" s="11"/>
      <c r="HL249" s="11"/>
      <c r="HM249" s="11"/>
      <c r="HN249" s="11"/>
      <c r="HO249" s="11"/>
      <c r="HP249" s="11"/>
      <c r="HQ249" s="40"/>
      <c r="HR249" s="40"/>
      <c r="HS249" s="40"/>
      <c r="HT249" s="40"/>
      <c r="HU249" s="40"/>
      <c r="HV249" s="11"/>
      <c r="HW249" s="11"/>
      <c r="HX249" s="40"/>
    </row>
    <row r="250" spans="1:232" s="25" customFormat="1">
      <c r="A250" s="785"/>
      <c r="B250" s="11"/>
      <c r="C250" s="11"/>
      <c r="D250" s="11"/>
      <c r="E250" s="11"/>
      <c r="F250" s="11"/>
      <c r="G250" s="11"/>
      <c r="H250" s="11"/>
      <c r="I250" s="11"/>
      <c r="J250" s="11"/>
      <c r="K250" s="210"/>
      <c r="L250" s="135"/>
      <c r="M250" s="135"/>
      <c r="N250" s="135"/>
      <c r="O250" s="11"/>
      <c r="P250" s="11"/>
      <c r="Q250" s="11"/>
      <c r="R250" s="11"/>
      <c r="S250" s="11"/>
      <c r="T250" s="11"/>
      <c r="U250" s="11"/>
      <c r="V250" s="11"/>
      <c r="W250" s="11"/>
      <c r="X250" s="11"/>
      <c r="Y250" s="11"/>
      <c r="Z250" s="11"/>
      <c r="AA250" s="11"/>
      <c r="AB250" s="11"/>
      <c r="AC250" s="11"/>
      <c r="AD250" s="11"/>
      <c r="AE250" s="11"/>
      <c r="AF250" s="11"/>
      <c r="AG250" s="11"/>
      <c r="AH250" s="11"/>
      <c r="AI250" s="11"/>
      <c r="AJ250" s="480"/>
      <c r="AK250" s="121"/>
      <c r="AL250" s="591"/>
      <c r="AM250" s="11"/>
      <c r="AN250" s="11"/>
      <c r="AO250" s="11"/>
      <c r="AP250" s="11"/>
      <c r="AQ250" s="11"/>
      <c r="AR250" s="11"/>
      <c r="AS250" s="11"/>
      <c r="AT250" s="11"/>
      <c r="AU250" s="11"/>
      <c r="AV250" s="11"/>
      <c r="AW250" s="96"/>
      <c r="AX250" s="20"/>
      <c r="AY250" s="11"/>
      <c r="AZ250" s="11"/>
      <c r="BA250" s="11"/>
      <c r="BB250" s="11"/>
      <c r="BC250" s="11"/>
      <c r="BD250" s="11"/>
      <c r="BE250" s="11"/>
      <c r="BF250" s="11"/>
      <c r="BG250" s="11"/>
      <c r="BH250" s="11"/>
      <c r="BI250" s="11"/>
      <c r="BJ250" s="121"/>
      <c r="BK250" s="121"/>
      <c r="BL250" s="121"/>
      <c r="BM250" s="121"/>
      <c r="BN250" s="121"/>
      <c r="BO250" s="121"/>
      <c r="BP250" s="121"/>
      <c r="BQ250" s="121"/>
      <c r="BR250" s="645"/>
      <c r="BS250" s="121"/>
      <c r="BT250" s="121"/>
      <c r="BU250" s="121"/>
      <c r="BV250" s="121"/>
      <c r="BW250" s="121"/>
      <c r="BX250" s="121"/>
      <c r="BY250" s="121"/>
      <c r="BZ250" s="121"/>
      <c r="CA250" s="121"/>
      <c r="CB250" s="11"/>
      <c r="CC250" s="357"/>
      <c r="CD250" s="357"/>
      <c r="CE250" s="21"/>
      <c r="CF250" s="11"/>
      <c r="CG250" s="357"/>
      <c r="CH250" s="11"/>
      <c r="CI250" s="357"/>
      <c r="CJ250" s="11"/>
      <c r="CK250" s="11"/>
      <c r="CL250" s="11"/>
      <c r="CM250" s="11"/>
      <c r="CN250" s="11"/>
      <c r="CO250" s="357"/>
      <c r="CP250" s="357"/>
      <c r="CQ250" s="11"/>
      <c r="CR250" s="11"/>
      <c r="CS250" s="357"/>
      <c r="CT250" s="357"/>
      <c r="CU250" s="357"/>
      <c r="CV250" s="11"/>
      <c r="CW250" s="357"/>
      <c r="CX250" s="11"/>
      <c r="CY250" s="11"/>
      <c r="CZ250" s="11"/>
      <c r="DA250" s="11"/>
      <c r="DB250" s="157"/>
      <c r="DC250" s="11"/>
      <c r="DD250" s="357"/>
      <c r="DE250" s="357"/>
      <c r="DF250" s="21"/>
      <c r="DG250" s="357"/>
      <c r="DH250" s="357"/>
      <c r="DI250" s="11"/>
      <c r="DJ250" s="357"/>
      <c r="DK250" s="357"/>
      <c r="DL250" s="11"/>
      <c r="DM250" s="357"/>
      <c r="DN250" s="357"/>
      <c r="DO250" s="11"/>
      <c r="DP250" s="357"/>
      <c r="DQ250" s="357"/>
      <c r="DR250" s="11"/>
      <c r="DS250" s="357"/>
      <c r="DT250" s="357"/>
      <c r="DU250" s="11"/>
      <c r="DV250" s="357"/>
      <c r="DW250" s="357"/>
      <c r="DX250" s="11"/>
      <c r="DY250" s="357"/>
      <c r="DZ250" s="357"/>
      <c r="EA250" s="357"/>
      <c r="EB250" s="11"/>
      <c r="EC250" s="11"/>
      <c r="ED250" s="11"/>
      <c r="EE250" s="121"/>
      <c r="EF250" s="11"/>
      <c r="EG250" s="11"/>
      <c r="EH250" s="11"/>
      <c r="EI250" s="11"/>
      <c r="EJ250" s="11"/>
      <c r="EK250" s="11"/>
      <c r="EL250" s="11"/>
      <c r="EM250" s="228"/>
      <c r="EN250" s="11"/>
      <c r="EO250" s="11"/>
      <c r="EP250" s="11"/>
      <c r="EQ250" s="11"/>
      <c r="ER250" s="376"/>
      <c r="ES250" s="376"/>
      <c r="ET250" s="376"/>
      <c r="EU250" s="376"/>
      <c r="EV250" s="376"/>
      <c r="EW250" s="376"/>
      <c r="EY250" s="372"/>
      <c r="EZ250" s="543"/>
      <c r="FC250" s="11"/>
      <c r="FD250" s="11"/>
      <c r="FE250" s="11"/>
      <c r="FF250" s="11"/>
      <c r="FG250" s="11"/>
      <c r="FH250" s="11"/>
      <c r="FI250" s="11"/>
      <c r="FJ250" s="11"/>
      <c r="FK250" s="11"/>
      <c r="FL250" s="11"/>
      <c r="FM250" s="11"/>
      <c r="FN250" s="11"/>
      <c r="FO250" s="11"/>
      <c r="FP250" s="11"/>
      <c r="FQ250" s="11"/>
      <c r="FR250" s="11"/>
      <c r="FS250" s="11"/>
      <c r="FT250" s="11"/>
      <c r="FU250" s="11"/>
      <c r="FV250" s="11"/>
      <c r="FW250" s="11"/>
      <c r="FX250" s="391"/>
      <c r="FY250" s="391"/>
      <c r="FZ250" s="21"/>
      <c r="GA250" s="11"/>
      <c r="GB250" s="21"/>
      <c r="GC250" s="11"/>
      <c r="GD250" s="11"/>
      <c r="GE250" s="11"/>
      <c r="GF250" s="11"/>
      <c r="GG250" s="11"/>
      <c r="GH250" s="11"/>
      <c r="GI250" s="11"/>
      <c r="GJ250" s="11"/>
      <c r="GK250" s="411"/>
      <c r="GL250" s="11"/>
      <c r="GM250" s="11"/>
      <c r="GN250" s="11"/>
      <c r="GO250" s="11"/>
      <c r="GP250" s="11"/>
      <c r="GQ250" s="11"/>
      <c r="GR250" s="11"/>
      <c r="GS250" s="11"/>
      <c r="GT250" s="11"/>
      <c r="GU250" s="11"/>
      <c r="GV250" s="11"/>
      <c r="GW250" s="11"/>
      <c r="GX250" s="11"/>
      <c r="GY250" s="11"/>
      <c r="GZ250" s="11"/>
      <c r="HA250" s="11"/>
      <c r="HB250" s="11"/>
      <c r="HC250" s="11"/>
      <c r="HD250" s="21"/>
      <c r="HE250" s="11"/>
      <c r="HF250" s="11"/>
      <c r="HG250" s="11"/>
      <c r="HH250" s="11"/>
      <c r="HI250" s="11"/>
      <c r="HJ250" s="11"/>
      <c r="HK250" s="11"/>
      <c r="HL250" s="11"/>
      <c r="HM250" s="11"/>
      <c r="HN250" s="11"/>
      <c r="HO250" s="11"/>
      <c r="HP250" s="11"/>
      <c r="HQ250" s="40"/>
      <c r="HR250" s="40"/>
      <c r="HS250" s="40"/>
      <c r="HT250" s="40"/>
      <c r="HU250" s="40"/>
      <c r="HV250" s="11"/>
      <c r="HW250" s="11"/>
      <c r="HX250" s="40"/>
    </row>
    <row r="251" spans="1:232" s="25" customFormat="1">
      <c r="A251" s="785"/>
      <c r="B251" s="11"/>
      <c r="C251" s="11"/>
      <c r="D251" s="11"/>
      <c r="E251" s="11"/>
      <c r="F251" s="11"/>
      <c r="G251" s="11"/>
      <c r="H251" s="11"/>
      <c r="I251" s="11"/>
      <c r="J251" s="11"/>
      <c r="K251" s="210"/>
      <c r="L251" s="135"/>
      <c r="M251" s="135"/>
      <c r="N251" s="135"/>
      <c r="O251" s="11"/>
      <c r="P251" s="11"/>
      <c r="Q251" s="11"/>
      <c r="R251" s="11"/>
      <c r="S251" s="11"/>
      <c r="T251" s="11"/>
      <c r="U251" s="11"/>
      <c r="V251" s="11"/>
      <c r="W251" s="11"/>
      <c r="X251" s="11"/>
      <c r="Y251" s="11"/>
      <c r="Z251" s="11"/>
      <c r="AA251" s="11"/>
      <c r="AB251" s="11"/>
      <c r="AC251" s="11"/>
      <c r="AD251" s="11"/>
      <c r="AE251" s="11"/>
      <c r="AF251" s="11"/>
      <c r="AG251" s="11"/>
      <c r="AH251" s="11"/>
      <c r="AI251" s="11"/>
      <c r="AJ251" s="480"/>
      <c r="AK251" s="121"/>
      <c r="AL251" s="591"/>
      <c r="AM251" s="11"/>
      <c r="AN251" s="11"/>
      <c r="AO251" s="11"/>
      <c r="AP251" s="11"/>
      <c r="AQ251" s="11"/>
      <c r="AR251" s="11"/>
      <c r="AS251" s="11"/>
      <c r="AT251" s="11"/>
      <c r="AU251" s="11"/>
      <c r="AV251" s="11"/>
      <c r="AW251" s="96"/>
      <c r="AX251" s="20"/>
      <c r="AY251" s="11"/>
      <c r="AZ251" s="11"/>
      <c r="BA251" s="11"/>
      <c r="BB251" s="11"/>
      <c r="BC251" s="11"/>
      <c r="BD251" s="11"/>
      <c r="BE251" s="11"/>
      <c r="BF251" s="11"/>
      <c r="BG251" s="11"/>
      <c r="BH251" s="11"/>
      <c r="BI251" s="11"/>
      <c r="BJ251" s="121"/>
      <c r="BK251" s="121"/>
      <c r="BL251" s="121"/>
      <c r="BM251" s="121"/>
      <c r="BN251" s="121"/>
      <c r="BO251" s="121"/>
      <c r="BP251" s="121"/>
      <c r="BQ251" s="121"/>
      <c r="BR251" s="645"/>
      <c r="BS251" s="121"/>
      <c r="BT251" s="121"/>
      <c r="BU251" s="121"/>
      <c r="BV251" s="121"/>
      <c r="BW251" s="121"/>
      <c r="BX251" s="121"/>
      <c r="BY251" s="121"/>
      <c r="BZ251" s="121"/>
      <c r="CA251" s="121"/>
      <c r="CB251" s="11"/>
      <c r="CC251" s="357"/>
      <c r="CD251" s="357"/>
      <c r="CE251" s="21"/>
      <c r="CF251" s="11"/>
      <c r="CG251" s="357"/>
      <c r="CH251" s="11"/>
      <c r="CI251" s="357"/>
      <c r="CJ251" s="11"/>
      <c r="CK251" s="11"/>
      <c r="CL251" s="11"/>
      <c r="CM251" s="11"/>
      <c r="CN251" s="11"/>
      <c r="CO251" s="357"/>
      <c r="CP251" s="357"/>
      <c r="CQ251" s="11"/>
      <c r="CR251" s="11"/>
      <c r="CS251" s="357"/>
      <c r="CT251" s="357"/>
      <c r="CU251" s="357"/>
      <c r="CV251" s="11"/>
      <c r="CW251" s="357"/>
      <c r="CX251" s="11"/>
      <c r="CY251" s="11"/>
      <c r="CZ251" s="11"/>
      <c r="DA251" s="11"/>
      <c r="DB251" s="157"/>
      <c r="DC251" s="11"/>
      <c r="DD251" s="357"/>
      <c r="DE251" s="357"/>
      <c r="DF251" s="21"/>
      <c r="DG251" s="357"/>
      <c r="DH251" s="357"/>
      <c r="DI251" s="11"/>
      <c r="DJ251" s="357"/>
      <c r="DK251" s="357"/>
      <c r="DL251" s="11"/>
      <c r="DM251" s="357"/>
      <c r="DN251" s="357"/>
      <c r="DO251" s="11"/>
      <c r="DP251" s="357"/>
      <c r="DQ251" s="357"/>
      <c r="DR251" s="11"/>
      <c r="DS251" s="357"/>
      <c r="DT251" s="357"/>
      <c r="DU251" s="11"/>
      <c r="DV251" s="357"/>
      <c r="DW251" s="357"/>
      <c r="DX251" s="11"/>
      <c r="DY251" s="357"/>
      <c r="DZ251" s="357"/>
      <c r="EA251" s="357"/>
      <c r="EB251" s="11"/>
      <c r="EC251" s="11"/>
      <c r="ED251" s="11"/>
      <c r="EE251" s="121"/>
      <c r="EF251" s="11"/>
      <c r="EG251" s="11"/>
      <c r="EH251" s="11"/>
      <c r="EI251" s="11"/>
      <c r="EJ251" s="11"/>
      <c r="EK251" s="11"/>
      <c r="EL251" s="11"/>
      <c r="EM251" s="228"/>
      <c r="EN251" s="11"/>
      <c r="EO251" s="11"/>
      <c r="EP251" s="11"/>
      <c r="EQ251" s="11"/>
      <c r="ER251" s="376"/>
      <c r="ES251" s="376"/>
      <c r="ET251" s="376"/>
      <c r="EU251" s="376"/>
      <c r="EV251" s="376"/>
      <c r="EW251" s="376"/>
      <c r="EY251" s="372"/>
      <c r="EZ251" s="543"/>
      <c r="FC251" s="11"/>
      <c r="FD251" s="11"/>
      <c r="FE251" s="11"/>
      <c r="FF251" s="11"/>
      <c r="FG251" s="11"/>
      <c r="FH251" s="11"/>
      <c r="FI251" s="11"/>
      <c r="FJ251" s="11"/>
      <c r="FK251" s="11"/>
      <c r="FL251" s="11"/>
      <c r="FM251" s="11"/>
      <c r="FN251" s="11"/>
      <c r="FO251" s="11"/>
      <c r="FP251" s="11"/>
      <c r="FQ251" s="11"/>
      <c r="FR251" s="11"/>
      <c r="FS251" s="11"/>
      <c r="FT251" s="11"/>
      <c r="FU251" s="11"/>
      <c r="FV251" s="11"/>
      <c r="FW251" s="11"/>
      <c r="FX251" s="391"/>
      <c r="FY251" s="391"/>
      <c r="FZ251" s="21"/>
      <c r="GA251" s="11"/>
      <c r="GB251" s="21"/>
      <c r="GC251" s="11"/>
      <c r="GD251" s="11"/>
      <c r="GE251" s="11"/>
      <c r="GF251" s="11"/>
      <c r="GG251" s="11"/>
      <c r="GH251" s="11"/>
      <c r="GI251" s="11"/>
      <c r="GJ251" s="11"/>
      <c r="GK251" s="411"/>
      <c r="GL251" s="11"/>
      <c r="GM251" s="11"/>
      <c r="GN251" s="11"/>
      <c r="GO251" s="11"/>
      <c r="GP251" s="11"/>
      <c r="GQ251" s="11"/>
      <c r="GR251" s="11"/>
      <c r="GS251" s="11"/>
      <c r="GT251" s="11"/>
      <c r="GU251" s="11"/>
      <c r="GV251" s="11"/>
      <c r="GW251" s="11"/>
      <c r="GX251" s="11"/>
      <c r="GY251" s="11"/>
      <c r="GZ251" s="11"/>
      <c r="HA251" s="11"/>
      <c r="HB251" s="11"/>
      <c r="HC251" s="11"/>
      <c r="HD251" s="21"/>
      <c r="HE251" s="11"/>
      <c r="HF251" s="11"/>
      <c r="HG251" s="11"/>
      <c r="HH251" s="11"/>
      <c r="HI251" s="11"/>
      <c r="HJ251" s="11"/>
      <c r="HK251" s="11"/>
      <c r="HL251" s="11"/>
      <c r="HM251" s="11"/>
      <c r="HN251" s="11"/>
      <c r="HO251" s="11"/>
      <c r="HP251" s="11"/>
      <c r="HQ251" s="40"/>
      <c r="HR251" s="40"/>
      <c r="HS251" s="40"/>
      <c r="HT251" s="40"/>
      <c r="HU251" s="40"/>
      <c r="HV251" s="11"/>
      <c r="HW251" s="11"/>
      <c r="HX251" s="40"/>
    </row>
    <row r="252" spans="1:232" s="25" customFormat="1">
      <c r="A252" s="785"/>
      <c r="B252" s="11"/>
      <c r="C252" s="11"/>
      <c r="D252" s="11"/>
      <c r="E252" s="11"/>
      <c r="F252" s="11"/>
      <c r="G252" s="11"/>
      <c r="H252" s="11"/>
      <c r="I252" s="11"/>
      <c r="J252" s="11"/>
      <c r="K252" s="210"/>
      <c r="L252" s="135"/>
      <c r="M252" s="135"/>
      <c r="N252" s="135"/>
      <c r="O252" s="11"/>
      <c r="P252" s="11"/>
      <c r="Q252" s="11"/>
      <c r="R252" s="11"/>
      <c r="S252" s="11"/>
      <c r="T252" s="11"/>
      <c r="U252" s="11"/>
      <c r="V252" s="11"/>
      <c r="W252" s="11"/>
      <c r="X252" s="11"/>
      <c r="Y252" s="11"/>
      <c r="Z252" s="11"/>
      <c r="AA252" s="11"/>
      <c r="AB252" s="11"/>
      <c r="AC252" s="11"/>
      <c r="AD252" s="11"/>
      <c r="AE252" s="11"/>
      <c r="AF252" s="11"/>
      <c r="AG252" s="11"/>
      <c r="AH252" s="11"/>
      <c r="AI252" s="11"/>
      <c r="AJ252" s="480"/>
      <c r="AK252" s="121"/>
      <c r="AL252" s="591"/>
      <c r="AM252" s="11"/>
      <c r="AN252" s="11"/>
      <c r="AO252" s="11"/>
      <c r="AP252" s="11"/>
      <c r="AQ252" s="11"/>
      <c r="AR252" s="11"/>
      <c r="AS252" s="11"/>
      <c r="AT252" s="11"/>
      <c r="AU252" s="11"/>
      <c r="AV252" s="11"/>
      <c r="AW252" s="96"/>
      <c r="AX252" s="20"/>
      <c r="AY252" s="11"/>
      <c r="AZ252" s="11"/>
      <c r="BA252" s="11"/>
      <c r="BB252" s="11"/>
      <c r="BC252" s="11"/>
      <c r="BD252" s="11"/>
      <c r="BE252" s="11"/>
      <c r="BF252" s="11"/>
      <c r="BG252" s="11"/>
      <c r="BH252" s="11"/>
      <c r="BI252" s="11"/>
      <c r="BJ252" s="121"/>
      <c r="BK252" s="121"/>
      <c r="BL252" s="121"/>
      <c r="BM252" s="121"/>
      <c r="BN252" s="121"/>
      <c r="BO252" s="121"/>
      <c r="BP252" s="121"/>
      <c r="BQ252" s="121"/>
      <c r="BR252" s="645"/>
      <c r="BS252" s="121"/>
      <c r="BT252" s="121"/>
      <c r="BU252" s="121"/>
      <c r="BV252" s="121"/>
      <c r="BW252" s="121"/>
      <c r="BX252" s="121"/>
      <c r="BY252" s="121"/>
      <c r="BZ252" s="121"/>
      <c r="CA252" s="121"/>
      <c r="CB252" s="11"/>
      <c r="CC252" s="357"/>
      <c r="CD252" s="357"/>
      <c r="CE252" s="21"/>
      <c r="CF252" s="11"/>
      <c r="CG252" s="357"/>
      <c r="CH252" s="11"/>
      <c r="CI252" s="357"/>
      <c r="CJ252" s="11"/>
      <c r="CK252" s="11"/>
      <c r="CL252" s="11"/>
      <c r="CM252" s="11"/>
      <c r="CN252" s="11"/>
      <c r="CO252" s="357"/>
      <c r="CP252" s="357"/>
      <c r="CQ252" s="11"/>
      <c r="CR252" s="11"/>
      <c r="CS252" s="357"/>
      <c r="CT252" s="357"/>
      <c r="CU252" s="357"/>
      <c r="CV252" s="11"/>
      <c r="CW252" s="357"/>
      <c r="CX252" s="11"/>
      <c r="CY252" s="11"/>
      <c r="CZ252" s="11"/>
      <c r="DA252" s="11"/>
      <c r="DB252" s="157"/>
      <c r="DC252" s="11"/>
      <c r="DD252" s="357"/>
      <c r="DE252" s="357"/>
      <c r="DF252" s="21"/>
      <c r="DG252" s="357"/>
      <c r="DH252" s="357"/>
      <c r="DI252" s="11"/>
      <c r="DJ252" s="357"/>
      <c r="DK252" s="357"/>
      <c r="DL252" s="11"/>
      <c r="DM252" s="357"/>
      <c r="DN252" s="357"/>
      <c r="DO252" s="11"/>
      <c r="DP252" s="357"/>
      <c r="DQ252" s="357"/>
      <c r="DR252" s="11"/>
      <c r="DS252" s="357"/>
      <c r="DT252" s="357"/>
      <c r="DU252" s="11"/>
      <c r="DV252" s="357"/>
      <c r="DW252" s="357"/>
      <c r="DX252" s="11"/>
      <c r="DY252" s="357"/>
      <c r="DZ252" s="357"/>
      <c r="EA252" s="357"/>
      <c r="EB252" s="11"/>
      <c r="EC252" s="11"/>
      <c r="ED252" s="11"/>
      <c r="EE252" s="121"/>
      <c r="EF252" s="11"/>
      <c r="EG252" s="11"/>
      <c r="EH252" s="11"/>
      <c r="EI252" s="11"/>
      <c r="EJ252" s="11"/>
      <c r="EK252" s="11"/>
      <c r="EL252" s="11"/>
      <c r="EM252" s="228"/>
      <c r="EN252" s="11"/>
      <c r="EO252" s="11"/>
      <c r="EP252" s="11"/>
      <c r="EQ252" s="11"/>
      <c r="ER252" s="376"/>
      <c r="ES252" s="376"/>
      <c r="ET252" s="376"/>
      <c r="EU252" s="376"/>
      <c r="EV252" s="376"/>
      <c r="EW252" s="376"/>
      <c r="EY252" s="372"/>
      <c r="EZ252" s="543"/>
      <c r="FC252" s="11"/>
      <c r="FD252" s="11"/>
      <c r="FE252" s="11"/>
      <c r="FF252" s="11"/>
      <c r="FG252" s="11"/>
      <c r="FH252" s="11"/>
      <c r="FI252" s="11"/>
      <c r="FJ252" s="11"/>
      <c r="FK252" s="11"/>
      <c r="FL252" s="11"/>
      <c r="FM252" s="11"/>
      <c r="FN252" s="11"/>
      <c r="FO252" s="11"/>
      <c r="FP252" s="11"/>
      <c r="FQ252" s="11"/>
      <c r="FR252" s="11"/>
      <c r="FS252" s="11"/>
      <c r="FT252" s="11"/>
      <c r="FU252" s="11"/>
      <c r="FV252" s="11"/>
      <c r="FW252" s="11"/>
      <c r="FX252" s="391"/>
      <c r="FY252" s="391"/>
      <c r="FZ252" s="21"/>
      <c r="GA252" s="11"/>
      <c r="GB252" s="21"/>
      <c r="GC252" s="11"/>
      <c r="GD252" s="11"/>
      <c r="GE252" s="11"/>
      <c r="GF252" s="11"/>
      <c r="GG252" s="11"/>
      <c r="GH252" s="11"/>
      <c r="GI252" s="11"/>
      <c r="GJ252" s="11"/>
      <c r="GK252" s="411"/>
      <c r="GL252" s="11"/>
      <c r="GM252" s="11"/>
      <c r="GN252" s="11"/>
      <c r="GO252" s="11"/>
      <c r="GP252" s="11"/>
      <c r="GQ252" s="11"/>
      <c r="GR252" s="11"/>
      <c r="GS252" s="11"/>
      <c r="GT252" s="11"/>
      <c r="GU252" s="11"/>
      <c r="GV252" s="11"/>
      <c r="GW252" s="11"/>
      <c r="GX252" s="11"/>
      <c r="GY252" s="11"/>
      <c r="GZ252" s="11"/>
      <c r="HA252" s="11"/>
      <c r="HB252" s="11"/>
      <c r="HC252" s="11"/>
      <c r="HD252" s="21"/>
      <c r="HE252" s="11"/>
      <c r="HF252" s="11"/>
      <c r="HG252" s="11"/>
      <c r="HH252" s="11"/>
      <c r="HI252" s="11"/>
      <c r="HJ252" s="11"/>
      <c r="HK252" s="11"/>
      <c r="HL252" s="11"/>
      <c r="HM252" s="11"/>
      <c r="HN252" s="11"/>
      <c r="HO252" s="11"/>
      <c r="HP252" s="11"/>
      <c r="HQ252" s="40"/>
      <c r="HR252" s="40"/>
      <c r="HS252" s="40"/>
      <c r="HT252" s="40"/>
      <c r="HU252" s="40"/>
      <c r="HV252" s="11"/>
      <c r="HW252" s="11"/>
      <c r="HX252" s="40"/>
    </row>
    <row r="253" spans="1:232" s="25" customFormat="1">
      <c r="A253" s="785"/>
      <c r="B253" s="11"/>
      <c r="C253" s="11"/>
      <c r="D253" s="11"/>
      <c r="E253" s="11"/>
      <c r="F253" s="11"/>
      <c r="G253" s="11"/>
      <c r="H253" s="11"/>
      <c r="I253" s="11"/>
      <c r="J253" s="11"/>
      <c r="K253" s="210"/>
      <c r="L253" s="135"/>
      <c r="M253" s="135"/>
      <c r="N253" s="135"/>
      <c r="O253" s="11"/>
      <c r="P253" s="11"/>
      <c r="Q253" s="11"/>
      <c r="R253" s="11"/>
      <c r="S253" s="11"/>
      <c r="T253" s="11"/>
      <c r="U253" s="11"/>
      <c r="V253" s="11"/>
      <c r="W253" s="11"/>
      <c r="X253" s="11"/>
      <c r="Y253" s="11"/>
      <c r="Z253" s="11"/>
      <c r="AA253" s="11"/>
      <c r="AB253" s="11"/>
      <c r="AC253" s="11"/>
      <c r="AD253" s="11"/>
      <c r="AE253" s="11"/>
      <c r="AF253" s="11"/>
      <c r="AG253" s="11"/>
      <c r="AH253" s="11"/>
      <c r="AI253" s="11"/>
      <c r="AJ253" s="480"/>
      <c r="AK253" s="121"/>
      <c r="AL253" s="591"/>
      <c r="AM253" s="11"/>
      <c r="AN253" s="11"/>
      <c r="AO253" s="11"/>
      <c r="AP253" s="11"/>
      <c r="AQ253" s="11"/>
      <c r="AR253" s="11"/>
      <c r="AS253" s="11"/>
      <c r="AT253" s="11"/>
      <c r="AU253" s="11"/>
      <c r="AV253" s="11"/>
      <c r="AW253" s="96"/>
      <c r="AX253" s="20"/>
      <c r="AY253" s="11"/>
      <c r="AZ253" s="11"/>
      <c r="BA253" s="11"/>
      <c r="BB253" s="11"/>
      <c r="BC253" s="11"/>
      <c r="BD253" s="11"/>
      <c r="BE253" s="11"/>
      <c r="BF253" s="11"/>
      <c r="BG253" s="11"/>
      <c r="BH253" s="11"/>
      <c r="BI253" s="11"/>
      <c r="BJ253" s="121"/>
      <c r="BK253" s="121"/>
      <c r="BL253" s="121"/>
      <c r="BM253" s="121"/>
      <c r="BN253" s="121"/>
      <c r="BO253" s="121"/>
      <c r="BP253" s="121"/>
      <c r="BQ253" s="121"/>
      <c r="BR253" s="645"/>
      <c r="BS253" s="121"/>
      <c r="BT253" s="121"/>
      <c r="BU253" s="121"/>
      <c r="BV253" s="121"/>
      <c r="BW253" s="121"/>
      <c r="BX253" s="121"/>
      <c r="BY253" s="121"/>
      <c r="BZ253" s="121"/>
      <c r="CA253" s="121"/>
      <c r="CB253" s="11"/>
      <c r="CC253" s="357"/>
      <c r="CD253" s="357"/>
      <c r="CE253" s="21"/>
      <c r="CF253" s="11"/>
      <c r="CG253" s="357"/>
      <c r="CH253" s="11"/>
      <c r="CI253" s="357"/>
      <c r="CJ253" s="11"/>
      <c r="CK253" s="11"/>
      <c r="CL253" s="11"/>
      <c r="CM253" s="11"/>
      <c r="CN253" s="11"/>
      <c r="CO253" s="357"/>
      <c r="CP253" s="357"/>
      <c r="CQ253" s="11"/>
      <c r="CR253" s="11"/>
      <c r="CS253" s="357"/>
      <c r="CT253" s="357"/>
      <c r="CU253" s="357"/>
      <c r="CV253" s="11"/>
      <c r="CW253" s="357"/>
      <c r="CX253" s="11"/>
      <c r="CY253" s="11"/>
      <c r="CZ253" s="11"/>
      <c r="DA253" s="11"/>
      <c r="DB253" s="157"/>
      <c r="DC253" s="11"/>
      <c r="DD253" s="357"/>
      <c r="DE253" s="357"/>
      <c r="DF253" s="21"/>
      <c r="DG253" s="357"/>
      <c r="DH253" s="357"/>
      <c r="DI253" s="11"/>
      <c r="DJ253" s="357"/>
      <c r="DK253" s="357"/>
      <c r="DL253" s="11"/>
      <c r="DM253" s="357"/>
      <c r="DN253" s="357"/>
      <c r="DO253" s="11"/>
      <c r="DP253" s="357"/>
      <c r="DQ253" s="357"/>
      <c r="DR253" s="11"/>
      <c r="DS253" s="357"/>
      <c r="DT253" s="357"/>
      <c r="DU253" s="11"/>
      <c r="DV253" s="357"/>
      <c r="DW253" s="357"/>
      <c r="DX253" s="11"/>
      <c r="DY253" s="357"/>
      <c r="DZ253" s="357"/>
      <c r="EA253" s="357"/>
      <c r="EB253" s="11"/>
      <c r="EC253" s="11"/>
      <c r="ED253" s="11"/>
      <c r="EE253" s="121"/>
      <c r="EF253" s="11"/>
      <c r="EG253" s="11"/>
      <c r="EH253" s="11"/>
      <c r="EI253" s="11"/>
      <c r="EJ253" s="11"/>
      <c r="EK253" s="11"/>
      <c r="EL253" s="11"/>
      <c r="EM253" s="228"/>
      <c r="EN253" s="11"/>
      <c r="EO253" s="11"/>
      <c r="EP253" s="11"/>
      <c r="EQ253" s="11"/>
      <c r="ER253" s="376"/>
      <c r="ES253" s="376"/>
      <c r="ET253" s="376"/>
      <c r="EU253" s="376"/>
      <c r="EV253" s="376"/>
      <c r="EW253" s="376"/>
      <c r="EY253" s="372"/>
      <c r="EZ253" s="543"/>
      <c r="FC253" s="11"/>
      <c r="FD253" s="11"/>
      <c r="FE253" s="11"/>
      <c r="FF253" s="11"/>
      <c r="FG253" s="11"/>
      <c r="FH253" s="11"/>
      <c r="FI253" s="11"/>
      <c r="FJ253" s="11"/>
      <c r="FK253" s="11"/>
      <c r="FL253" s="11"/>
      <c r="FM253" s="11"/>
      <c r="FN253" s="11"/>
      <c r="FO253" s="11"/>
      <c r="FP253" s="11"/>
      <c r="FQ253" s="11"/>
      <c r="FR253" s="11"/>
      <c r="FS253" s="11"/>
      <c r="FT253" s="11"/>
      <c r="FU253" s="11"/>
      <c r="FV253" s="11"/>
      <c r="FW253" s="11"/>
      <c r="FX253" s="391"/>
      <c r="FY253" s="391"/>
      <c r="FZ253" s="21"/>
      <c r="GA253" s="11"/>
      <c r="GB253" s="21"/>
      <c r="GC253" s="11"/>
      <c r="GD253" s="11"/>
      <c r="GE253" s="11"/>
      <c r="GF253" s="11"/>
      <c r="GG253" s="11"/>
      <c r="GH253" s="11"/>
      <c r="GI253" s="11"/>
      <c r="GJ253" s="11"/>
      <c r="GK253" s="411"/>
      <c r="GL253" s="11"/>
      <c r="GM253" s="11"/>
      <c r="GN253" s="11"/>
      <c r="GO253" s="11"/>
      <c r="GP253" s="11"/>
      <c r="GQ253" s="11"/>
      <c r="GR253" s="11"/>
      <c r="GS253" s="11"/>
      <c r="GT253" s="11"/>
      <c r="GU253" s="11"/>
      <c r="GV253" s="11"/>
      <c r="GW253" s="11"/>
      <c r="GX253" s="11"/>
      <c r="GY253" s="11"/>
      <c r="GZ253" s="11"/>
      <c r="HA253" s="11"/>
      <c r="HB253" s="11"/>
      <c r="HC253" s="11"/>
      <c r="HD253" s="21"/>
      <c r="HE253" s="11"/>
      <c r="HF253" s="11"/>
      <c r="HG253" s="11"/>
      <c r="HH253" s="11"/>
      <c r="HI253" s="11"/>
      <c r="HJ253" s="11"/>
      <c r="HK253" s="11"/>
      <c r="HL253" s="11"/>
      <c r="HM253" s="11"/>
      <c r="HN253" s="11"/>
      <c r="HO253" s="11"/>
      <c r="HP253" s="11"/>
      <c r="HQ253" s="40"/>
      <c r="HR253" s="40"/>
      <c r="HS253" s="40"/>
      <c r="HT253" s="40"/>
      <c r="HU253" s="40"/>
      <c r="HV253" s="11"/>
      <c r="HW253" s="11"/>
      <c r="HX253" s="40"/>
    </row>
    <row r="254" spans="1:232" s="25" customFormat="1">
      <c r="A254" s="785"/>
      <c r="B254" s="11"/>
      <c r="C254" s="11"/>
      <c r="D254" s="11"/>
      <c r="E254" s="11"/>
      <c r="F254" s="11"/>
      <c r="G254" s="11"/>
      <c r="H254" s="11"/>
      <c r="I254" s="11"/>
      <c r="J254" s="11"/>
      <c r="K254" s="210"/>
      <c r="L254" s="135"/>
      <c r="M254" s="135"/>
      <c r="N254" s="135"/>
      <c r="O254" s="11"/>
      <c r="P254" s="11"/>
      <c r="Q254" s="11"/>
      <c r="R254" s="11"/>
      <c r="S254" s="11"/>
      <c r="T254" s="11"/>
      <c r="U254" s="11"/>
      <c r="V254" s="11"/>
      <c r="W254" s="11"/>
      <c r="X254" s="11"/>
      <c r="Y254" s="11"/>
      <c r="Z254" s="11"/>
      <c r="AA254" s="11"/>
      <c r="AB254" s="11"/>
      <c r="AC254" s="11"/>
      <c r="AD254" s="11"/>
      <c r="AE254" s="11"/>
      <c r="AF254" s="11"/>
      <c r="AG254" s="11"/>
      <c r="AH254" s="11"/>
      <c r="AI254" s="11"/>
      <c r="AJ254" s="480"/>
      <c r="AK254" s="121"/>
      <c r="AL254" s="591"/>
      <c r="AM254" s="11"/>
      <c r="AN254" s="11"/>
      <c r="AO254" s="11"/>
      <c r="AP254" s="11"/>
      <c r="AQ254" s="11"/>
      <c r="AR254" s="11"/>
      <c r="AS254" s="11"/>
      <c r="AT254" s="11"/>
      <c r="AU254" s="11"/>
      <c r="AV254" s="11"/>
      <c r="AW254" s="96"/>
      <c r="AX254" s="20"/>
      <c r="AY254" s="11"/>
      <c r="AZ254" s="11"/>
      <c r="BA254" s="11"/>
      <c r="BB254" s="11"/>
      <c r="BC254" s="11"/>
      <c r="BD254" s="11"/>
      <c r="BE254" s="11"/>
      <c r="BF254" s="11"/>
      <c r="BG254" s="11"/>
      <c r="BH254" s="11"/>
      <c r="BI254" s="11"/>
      <c r="BJ254" s="121"/>
      <c r="BK254" s="121"/>
      <c r="BL254" s="121"/>
      <c r="BM254" s="121"/>
      <c r="BN254" s="121"/>
      <c r="BO254" s="121"/>
      <c r="BP254" s="121"/>
      <c r="BQ254" s="121"/>
      <c r="BR254" s="645"/>
      <c r="BS254" s="121"/>
      <c r="BT254" s="121"/>
      <c r="BU254" s="121"/>
      <c r="BV254" s="121"/>
      <c r="BW254" s="121"/>
      <c r="BX254" s="121"/>
      <c r="BY254" s="121"/>
      <c r="BZ254" s="121"/>
      <c r="CA254" s="121"/>
      <c r="CB254" s="11"/>
      <c r="CC254" s="357"/>
      <c r="CD254" s="357"/>
      <c r="CE254" s="21"/>
      <c r="CF254" s="11"/>
      <c r="CG254" s="357"/>
      <c r="CH254" s="11"/>
      <c r="CI254" s="357"/>
      <c r="CJ254" s="11"/>
      <c r="CK254" s="11"/>
      <c r="CL254" s="11"/>
      <c r="CM254" s="11"/>
      <c r="CN254" s="11"/>
      <c r="CO254" s="357"/>
      <c r="CP254" s="357"/>
      <c r="CQ254" s="11"/>
      <c r="CR254" s="11"/>
      <c r="CS254" s="357"/>
      <c r="CT254" s="357"/>
      <c r="CU254" s="357"/>
      <c r="CV254" s="11"/>
      <c r="CW254" s="357"/>
      <c r="CX254" s="11"/>
      <c r="CY254" s="11"/>
      <c r="CZ254" s="11"/>
      <c r="DA254" s="11"/>
      <c r="DB254" s="157"/>
      <c r="DC254" s="11"/>
      <c r="DD254" s="357"/>
      <c r="DE254" s="357"/>
      <c r="DF254" s="21"/>
      <c r="DG254" s="357"/>
      <c r="DH254" s="357"/>
      <c r="DI254" s="11"/>
      <c r="DJ254" s="357"/>
      <c r="DK254" s="357"/>
      <c r="DL254" s="11"/>
      <c r="DM254" s="357"/>
      <c r="DN254" s="357"/>
      <c r="DO254" s="11"/>
      <c r="DP254" s="357"/>
      <c r="DQ254" s="357"/>
      <c r="DR254" s="11"/>
      <c r="DS254" s="357"/>
      <c r="DT254" s="357"/>
      <c r="DU254" s="11"/>
      <c r="DV254" s="357"/>
      <c r="DW254" s="357"/>
      <c r="DX254" s="11"/>
      <c r="DY254" s="357"/>
      <c r="DZ254" s="357"/>
      <c r="EA254" s="357"/>
      <c r="EB254" s="11"/>
      <c r="EC254" s="11"/>
      <c r="ED254" s="11"/>
      <c r="EE254" s="121"/>
      <c r="EF254" s="11"/>
      <c r="EG254" s="11"/>
      <c r="EH254" s="11"/>
      <c r="EI254" s="11"/>
      <c r="EJ254" s="11"/>
      <c r="EK254" s="11"/>
      <c r="EL254" s="11"/>
      <c r="EM254" s="228"/>
      <c r="EN254" s="11"/>
      <c r="EO254" s="11"/>
      <c r="EP254" s="11"/>
      <c r="EQ254" s="11"/>
      <c r="ER254" s="376"/>
      <c r="ES254" s="376"/>
      <c r="ET254" s="376"/>
      <c r="EU254" s="376"/>
      <c r="EV254" s="376"/>
      <c r="EW254" s="376"/>
      <c r="EY254" s="372"/>
      <c r="EZ254" s="543"/>
      <c r="FC254" s="11"/>
      <c r="FD254" s="11"/>
      <c r="FE254" s="11"/>
      <c r="FF254" s="11"/>
      <c r="FG254" s="11"/>
      <c r="FH254" s="11"/>
      <c r="FI254" s="11"/>
      <c r="FJ254" s="11"/>
      <c r="FK254" s="11"/>
      <c r="FL254" s="11"/>
      <c r="FM254" s="11"/>
      <c r="FN254" s="11"/>
      <c r="FO254" s="11"/>
      <c r="FP254" s="11"/>
      <c r="FQ254" s="11"/>
      <c r="FR254" s="11"/>
      <c r="FS254" s="11"/>
      <c r="FT254" s="11"/>
      <c r="FU254" s="11"/>
      <c r="FV254" s="11"/>
      <c r="FW254" s="11"/>
      <c r="FX254" s="391"/>
      <c r="FY254" s="391"/>
      <c r="FZ254" s="21"/>
      <c r="GA254" s="11"/>
      <c r="GB254" s="21"/>
      <c r="GC254" s="11"/>
      <c r="GD254" s="11"/>
      <c r="GE254" s="11"/>
      <c r="GF254" s="11"/>
      <c r="GG254" s="11"/>
      <c r="GH254" s="11"/>
      <c r="GI254" s="11"/>
      <c r="GJ254" s="11"/>
      <c r="GK254" s="411"/>
      <c r="GL254" s="11"/>
      <c r="GM254" s="11"/>
      <c r="GN254" s="11"/>
      <c r="GO254" s="11"/>
      <c r="GP254" s="11"/>
      <c r="GQ254" s="11"/>
      <c r="GR254" s="11"/>
      <c r="GS254" s="11"/>
      <c r="GT254" s="11"/>
      <c r="GU254" s="11"/>
      <c r="GV254" s="11"/>
      <c r="GW254" s="11"/>
      <c r="GX254" s="11"/>
      <c r="GY254" s="11"/>
      <c r="GZ254" s="11"/>
      <c r="HA254" s="11"/>
      <c r="HB254" s="11"/>
      <c r="HC254" s="11"/>
      <c r="HD254" s="21"/>
      <c r="HE254" s="11"/>
      <c r="HF254" s="11"/>
      <c r="HG254" s="11"/>
      <c r="HH254" s="11"/>
      <c r="HI254" s="11"/>
      <c r="HJ254" s="11"/>
      <c r="HK254" s="11"/>
      <c r="HL254" s="11"/>
      <c r="HM254" s="11"/>
      <c r="HN254" s="11"/>
      <c r="HO254" s="11"/>
      <c r="HP254" s="11"/>
      <c r="HQ254" s="40"/>
      <c r="HR254" s="40"/>
      <c r="HS254" s="40"/>
      <c r="HT254" s="40"/>
      <c r="HU254" s="40"/>
      <c r="HV254" s="11"/>
      <c r="HW254" s="11"/>
      <c r="HX254" s="40"/>
    </row>
    <row r="255" spans="1:232" s="25" customFormat="1">
      <c r="A255" s="785"/>
      <c r="B255" s="11"/>
      <c r="C255" s="11"/>
      <c r="D255" s="11"/>
      <c r="E255" s="11"/>
      <c r="F255" s="11"/>
      <c r="G255" s="11"/>
      <c r="H255" s="11"/>
      <c r="I255" s="11"/>
      <c r="J255" s="11"/>
      <c r="K255" s="210"/>
      <c r="L255" s="135"/>
      <c r="M255" s="135"/>
      <c r="N255" s="135"/>
      <c r="O255" s="11"/>
      <c r="P255" s="11"/>
      <c r="Q255" s="11"/>
      <c r="R255" s="11"/>
      <c r="S255" s="11"/>
      <c r="T255" s="11"/>
      <c r="U255" s="11"/>
      <c r="V255" s="11"/>
      <c r="W255" s="11"/>
      <c r="X255" s="11"/>
      <c r="Y255" s="11"/>
      <c r="Z255" s="11"/>
      <c r="AA255" s="11"/>
      <c r="AB255" s="11"/>
      <c r="AC255" s="11"/>
      <c r="AD255" s="11"/>
      <c r="AE255" s="11"/>
      <c r="AF255" s="11"/>
      <c r="AG255" s="11"/>
      <c r="AH255" s="11"/>
      <c r="AI255" s="11"/>
      <c r="AJ255" s="480"/>
      <c r="AK255" s="121"/>
      <c r="AL255" s="591"/>
      <c r="AM255" s="11"/>
      <c r="AN255" s="11"/>
      <c r="AO255" s="11"/>
      <c r="AP255" s="11"/>
      <c r="AQ255" s="11"/>
      <c r="AR255" s="11"/>
      <c r="AS255" s="11"/>
      <c r="AT255" s="11"/>
      <c r="AU255" s="11"/>
      <c r="AV255" s="11"/>
      <c r="AW255" s="96"/>
      <c r="AX255" s="20"/>
      <c r="AY255" s="11"/>
      <c r="AZ255" s="11"/>
      <c r="BA255" s="11"/>
      <c r="BB255" s="11"/>
      <c r="BC255" s="11"/>
      <c r="BD255" s="11"/>
      <c r="BE255" s="11"/>
      <c r="BF255" s="11"/>
      <c r="BG255" s="11"/>
      <c r="BH255" s="11"/>
      <c r="BI255" s="11"/>
      <c r="BJ255" s="121"/>
      <c r="BK255" s="121"/>
      <c r="BL255" s="121"/>
      <c r="BM255" s="121"/>
      <c r="BN255" s="121"/>
      <c r="BO255" s="121"/>
      <c r="BP255" s="121"/>
      <c r="BQ255" s="121"/>
      <c r="BR255" s="645"/>
      <c r="BS255" s="121"/>
      <c r="BT255" s="121"/>
      <c r="BU255" s="121"/>
      <c r="BV255" s="121"/>
      <c r="BW255" s="121"/>
      <c r="BX255" s="121"/>
      <c r="BY255" s="121"/>
      <c r="BZ255" s="121"/>
      <c r="CA255" s="121"/>
      <c r="CB255" s="11"/>
      <c r="CC255" s="357"/>
      <c r="CD255" s="357"/>
      <c r="CE255" s="21"/>
      <c r="CF255" s="11"/>
      <c r="CG255" s="357"/>
      <c r="CH255" s="11"/>
      <c r="CI255" s="357"/>
      <c r="CJ255" s="11"/>
      <c r="CK255" s="11"/>
      <c r="CL255" s="11"/>
      <c r="CM255" s="11"/>
      <c r="CN255" s="11"/>
      <c r="CO255" s="357"/>
      <c r="CP255" s="357"/>
      <c r="CQ255" s="11"/>
      <c r="CR255" s="11"/>
      <c r="CS255" s="357"/>
      <c r="CT255" s="357"/>
      <c r="CU255" s="357"/>
      <c r="CV255" s="11"/>
      <c r="CW255" s="357"/>
      <c r="CX255" s="11"/>
      <c r="CY255" s="11"/>
      <c r="CZ255" s="11"/>
      <c r="DA255" s="11"/>
      <c r="DB255" s="157"/>
      <c r="DC255" s="11"/>
      <c r="DD255" s="357"/>
      <c r="DE255" s="357"/>
      <c r="DF255" s="21"/>
      <c r="DG255" s="357"/>
      <c r="DH255" s="357"/>
      <c r="DI255" s="11"/>
      <c r="DJ255" s="357"/>
      <c r="DK255" s="357"/>
      <c r="DL255" s="11"/>
      <c r="DM255" s="357"/>
      <c r="DN255" s="357"/>
      <c r="DO255" s="11"/>
      <c r="DP255" s="357"/>
      <c r="DQ255" s="357"/>
      <c r="DR255" s="11"/>
      <c r="DS255" s="357"/>
      <c r="DT255" s="357"/>
      <c r="DU255" s="11"/>
      <c r="DV255" s="357"/>
      <c r="DW255" s="357"/>
      <c r="DX255" s="11"/>
      <c r="DY255" s="357"/>
      <c r="DZ255" s="357"/>
      <c r="EA255" s="357"/>
      <c r="EB255" s="11"/>
      <c r="EC255" s="11"/>
      <c r="ED255" s="11"/>
      <c r="EE255" s="121"/>
      <c r="EF255" s="11"/>
      <c r="EG255" s="11"/>
      <c r="EH255" s="11"/>
      <c r="EI255" s="11"/>
      <c r="EJ255" s="11"/>
      <c r="EK255" s="11"/>
      <c r="EL255" s="11"/>
      <c r="EM255" s="228"/>
      <c r="EN255" s="11"/>
      <c r="EO255" s="11"/>
      <c r="EP255" s="11"/>
      <c r="EQ255" s="11"/>
      <c r="ER255" s="376"/>
      <c r="ES255" s="376"/>
      <c r="ET255" s="376"/>
      <c r="EU255" s="376"/>
      <c r="EV255" s="376"/>
      <c r="EW255" s="376"/>
      <c r="EY255" s="372"/>
      <c r="EZ255" s="543"/>
      <c r="FC255" s="11"/>
      <c r="FD255" s="11"/>
      <c r="FE255" s="11"/>
      <c r="FF255" s="11"/>
      <c r="FG255" s="11"/>
      <c r="FH255" s="11"/>
      <c r="FI255" s="11"/>
      <c r="FJ255" s="11"/>
      <c r="FK255" s="11"/>
      <c r="FL255" s="11"/>
      <c r="FM255" s="11"/>
      <c r="FN255" s="11"/>
      <c r="FO255" s="11"/>
      <c r="FP255" s="11"/>
      <c r="FQ255" s="11"/>
      <c r="FR255" s="11"/>
      <c r="FS255" s="11"/>
      <c r="FT255" s="11"/>
      <c r="FU255" s="11"/>
      <c r="FV255" s="11"/>
      <c r="FW255" s="11"/>
      <c r="FX255" s="391"/>
      <c r="FY255" s="391"/>
      <c r="FZ255" s="21"/>
      <c r="GA255" s="11"/>
      <c r="GB255" s="21"/>
      <c r="GC255" s="11"/>
      <c r="GD255" s="11"/>
      <c r="GE255" s="11"/>
      <c r="GF255" s="11"/>
      <c r="GG255" s="11"/>
      <c r="GH255" s="11"/>
      <c r="GI255" s="11"/>
      <c r="GJ255" s="11"/>
      <c r="GK255" s="411"/>
      <c r="GL255" s="11"/>
      <c r="GM255" s="11"/>
      <c r="GN255" s="11"/>
      <c r="GO255" s="11"/>
      <c r="GP255" s="11"/>
      <c r="GQ255" s="11"/>
      <c r="GR255" s="11"/>
      <c r="GS255" s="11"/>
      <c r="GT255" s="11"/>
      <c r="GU255" s="11"/>
      <c r="GV255" s="11"/>
      <c r="GW255" s="11"/>
      <c r="GX255" s="11"/>
      <c r="GY255" s="11"/>
      <c r="GZ255" s="11"/>
      <c r="HA255" s="11"/>
      <c r="HB255" s="11"/>
      <c r="HC255" s="11"/>
      <c r="HD255" s="21"/>
      <c r="HE255" s="11"/>
      <c r="HF255" s="11"/>
      <c r="HG255" s="11"/>
      <c r="HH255" s="11"/>
      <c r="HI255" s="11"/>
      <c r="HJ255" s="11"/>
      <c r="HK255" s="11"/>
      <c r="HL255" s="11"/>
      <c r="HM255" s="11"/>
      <c r="HN255" s="11"/>
      <c r="HO255" s="11"/>
      <c r="HP255" s="11"/>
      <c r="HQ255" s="40"/>
      <c r="HR255" s="40"/>
      <c r="HS255" s="40"/>
      <c r="HT255" s="40"/>
      <c r="HU255" s="40"/>
      <c r="HV255" s="11"/>
      <c r="HW255" s="11"/>
      <c r="HX255" s="40"/>
    </row>
    <row r="256" spans="1:232" s="25" customFormat="1">
      <c r="A256" s="785"/>
      <c r="B256" s="11"/>
      <c r="C256" s="11"/>
      <c r="D256" s="11"/>
      <c r="E256" s="11"/>
      <c r="F256" s="11"/>
      <c r="G256" s="11"/>
      <c r="H256" s="11"/>
      <c r="I256" s="11"/>
      <c r="J256" s="11"/>
      <c r="K256" s="210"/>
      <c r="L256" s="135"/>
      <c r="M256" s="135"/>
      <c r="N256" s="135"/>
      <c r="O256" s="11"/>
      <c r="P256" s="11"/>
      <c r="Q256" s="11"/>
      <c r="R256" s="11"/>
      <c r="S256" s="11"/>
      <c r="T256" s="11"/>
      <c r="U256" s="11"/>
      <c r="V256" s="11"/>
      <c r="W256" s="11"/>
      <c r="X256" s="11"/>
      <c r="Y256" s="11"/>
      <c r="Z256" s="11"/>
      <c r="AA256" s="11"/>
      <c r="AB256" s="11"/>
      <c r="AC256" s="11"/>
      <c r="AD256" s="11"/>
      <c r="AE256" s="11"/>
      <c r="AF256" s="11"/>
      <c r="AG256" s="11"/>
      <c r="AH256" s="11"/>
      <c r="AI256" s="11"/>
      <c r="AJ256" s="480"/>
      <c r="AK256" s="121"/>
      <c r="AL256" s="591"/>
      <c r="AM256" s="11"/>
      <c r="AN256" s="11"/>
      <c r="AO256" s="11"/>
      <c r="AP256" s="11"/>
      <c r="AQ256" s="11"/>
      <c r="AR256" s="11"/>
      <c r="AS256" s="11"/>
      <c r="AT256" s="11"/>
      <c r="AU256" s="11"/>
      <c r="AV256" s="11"/>
      <c r="AW256" s="96"/>
      <c r="AX256" s="20"/>
      <c r="AY256" s="11"/>
      <c r="AZ256" s="11"/>
      <c r="BA256" s="11"/>
      <c r="BB256" s="11"/>
      <c r="BC256" s="11"/>
      <c r="BD256" s="11"/>
      <c r="BE256" s="11"/>
      <c r="BF256" s="11"/>
      <c r="BG256" s="11"/>
      <c r="BH256" s="11"/>
      <c r="BI256" s="11"/>
      <c r="BJ256" s="121"/>
      <c r="BK256" s="121"/>
      <c r="BL256" s="121"/>
      <c r="BM256" s="121"/>
      <c r="BN256" s="121"/>
      <c r="BO256" s="121"/>
      <c r="BP256" s="121"/>
      <c r="BQ256" s="121"/>
      <c r="BR256" s="645"/>
      <c r="BS256" s="121"/>
      <c r="BT256" s="121"/>
      <c r="BU256" s="121"/>
      <c r="BV256" s="121"/>
      <c r="BW256" s="121"/>
      <c r="BX256" s="121"/>
      <c r="BY256" s="121"/>
      <c r="BZ256" s="121"/>
      <c r="CA256" s="121"/>
      <c r="CB256" s="11"/>
      <c r="CC256" s="357"/>
      <c r="CD256" s="357"/>
      <c r="CE256" s="21"/>
      <c r="CF256" s="11"/>
      <c r="CG256" s="357"/>
      <c r="CH256" s="11"/>
      <c r="CI256" s="357"/>
      <c r="CJ256" s="11"/>
      <c r="CK256" s="11"/>
      <c r="CL256" s="11"/>
      <c r="CM256" s="11"/>
      <c r="CN256" s="11"/>
      <c r="CO256" s="357"/>
      <c r="CP256" s="357"/>
      <c r="CQ256" s="11"/>
      <c r="CR256" s="11"/>
      <c r="CS256" s="357"/>
      <c r="CT256" s="357"/>
      <c r="CU256" s="357"/>
      <c r="CV256" s="11"/>
      <c r="CW256" s="357"/>
      <c r="CX256" s="11"/>
      <c r="CY256" s="11"/>
      <c r="CZ256" s="11"/>
      <c r="DA256" s="11"/>
      <c r="DB256" s="157"/>
      <c r="DC256" s="11"/>
      <c r="DD256" s="357"/>
      <c r="DE256" s="357"/>
      <c r="DF256" s="21"/>
      <c r="DG256" s="357"/>
      <c r="DH256" s="357"/>
      <c r="DI256" s="11"/>
      <c r="DJ256" s="357"/>
      <c r="DK256" s="357"/>
      <c r="DL256" s="11"/>
      <c r="DM256" s="357"/>
      <c r="DN256" s="357"/>
      <c r="DO256" s="11"/>
      <c r="DP256" s="357"/>
      <c r="DQ256" s="357"/>
      <c r="DR256" s="11"/>
      <c r="DS256" s="357"/>
      <c r="DT256" s="357"/>
      <c r="DU256" s="11"/>
      <c r="DV256" s="357"/>
      <c r="DW256" s="357"/>
      <c r="DX256" s="11"/>
      <c r="DY256" s="357"/>
      <c r="DZ256" s="357"/>
      <c r="EA256" s="357"/>
      <c r="EB256" s="11"/>
      <c r="EC256" s="11"/>
      <c r="ED256" s="11"/>
      <c r="EE256" s="121"/>
      <c r="EF256" s="11"/>
      <c r="EG256" s="11"/>
      <c r="EH256" s="11"/>
      <c r="EI256" s="11"/>
      <c r="EJ256" s="11"/>
      <c r="EK256" s="11"/>
      <c r="EL256" s="11"/>
      <c r="EM256" s="228"/>
      <c r="EN256" s="11"/>
      <c r="EO256" s="11"/>
      <c r="EP256" s="11"/>
      <c r="EQ256" s="11"/>
      <c r="ER256" s="376"/>
      <c r="ES256" s="376"/>
      <c r="ET256" s="376"/>
      <c r="EU256" s="376"/>
      <c r="EV256" s="376"/>
      <c r="EW256" s="376"/>
      <c r="EY256" s="372"/>
      <c r="EZ256" s="543"/>
      <c r="FC256" s="11"/>
      <c r="FD256" s="11"/>
      <c r="FE256" s="11"/>
      <c r="FF256" s="11"/>
      <c r="FG256" s="11"/>
      <c r="FH256" s="11"/>
      <c r="FI256" s="11"/>
      <c r="FJ256" s="11"/>
      <c r="FK256" s="11"/>
      <c r="FL256" s="11"/>
      <c r="FM256" s="11"/>
      <c r="FN256" s="11"/>
      <c r="FO256" s="11"/>
      <c r="FP256" s="11"/>
      <c r="FQ256" s="11"/>
      <c r="FR256" s="11"/>
      <c r="FS256" s="11"/>
      <c r="FT256" s="11"/>
      <c r="FU256" s="11"/>
      <c r="FV256" s="11"/>
      <c r="FW256" s="11"/>
      <c r="FX256" s="391"/>
      <c r="FY256" s="391"/>
      <c r="FZ256" s="21"/>
      <c r="GA256" s="11"/>
      <c r="GB256" s="21"/>
      <c r="GC256" s="11"/>
      <c r="GD256" s="11"/>
      <c r="GE256" s="11"/>
      <c r="GF256" s="11"/>
      <c r="GG256" s="11"/>
      <c r="GH256" s="11"/>
      <c r="GI256" s="11"/>
      <c r="GJ256" s="11"/>
      <c r="GK256" s="411"/>
      <c r="GL256" s="11"/>
      <c r="GM256" s="11"/>
      <c r="GN256" s="11"/>
      <c r="GO256" s="11"/>
      <c r="GP256" s="11"/>
      <c r="GQ256" s="11"/>
      <c r="GR256" s="11"/>
      <c r="GS256" s="11"/>
      <c r="GT256" s="11"/>
      <c r="GU256" s="11"/>
      <c r="GV256" s="11"/>
      <c r="GW256" s="11"/>
      <c r="GX256" s="11"/>
      <c r="GY256" s="11"/>
      <c r="GZ256" s="11"/>
      <c r="HA256" s="11"/>
      <c r="HB256" s="11"/>
      <c r="HC256" s="11"/>
      <c r="HD256" s="21"/>
      <c r="HE256" s="11"/>
      <c r="HF256" s="11"/>
      <c r="HG256" s="11"/>
      <c r="HH256" s="11"/>
      <c r="HI256" s="11"/>
      <c r="HJ256" s="11"/>
      <c r="HK256" s="11"/>
      <c r="HL256" s="11"/>
      <c r="HM256" s="11"/>
      <c r="HN256" s="11"/>
      <c r="HO256" s="11"/>
      <c r="HP256" s="11"/>
      <c r="HQ256" s="40"/>
      <c r="HR256" s="40"/>
      <c r="HS256" s="40"/>
      <c r="HT256" s="40"/>
      <c r="HU256" s="40"/>
      <c r="HV256" s="11"/>
      <c r="HW256" s="11"/>
      <c r="HX256" s="40"/>
    </row>
    <row r="257" spans="1:232" s="25" customFormat="1">
      <c r="A257" s="785"/>
      <c r="B257" s="11"/>
      <c r="C257" s="11"/>
      <c r="D257" s="11"/>
      <c r="E257" s="11"/>
      <c r="F257" s="11"/>
      <c r="G257" s="11"/>
      <c r="H257" s="11"/>
      <c r="I257" s="11"/>
      <c r="J257" s="11"/>
      <c r="K257" s="210"/>
      <c r="L257" s="135"/>
      <c r="M257" s="135"/>
      <c r="N257" s="135"/>
      <c r="O257" s="11"/>
      <c r="P257" s="11"/>
      <c r="Q257" s="11"/>
      <c r="R257" s="11"/>
      <c r="S257" s="11"/>
      <c r="T257" s="11"/>
      <c r="U257" s="11"/>
      <c r="V257" s="11"/>
      <c r="W257" s="11"/>
      <c r="X257" s="11"/>
      <c r="Y257" s="11"/>
      <c r="Z257" s="11"/>
      <c r="AA257" s="11"/>
      <c r="AB257" s="11"/>
      <c r="AC257" s="11"/>
      <c r="AD257" s="11"/>
      <c r="AE257" s="11"/>
      <c r="AF257" s="11"/>
      <c r="AG257" s="11"/>
      <c r="AH257" s="11"/>
      <c r="AI257" s="11"/>
      <c r="AJ257" s="480"/>
      <c r="AK257" s="121"/>
      <c r="AL257" s="591"/>
      <c r="AM257" s="11"/>
      <c r="AN257" s="11"/>
      <c r="AO257" s="11"/>
      <c r="AP257" s="11"/>
      <c r="AQ257" s="11"/>
      <c r="AR257" s="11"/>
      <c r="AS257" s="11"/>
      <c r="AT257" s="11"/>
      <c r="AU257" s="11"/>
      <c r="AV257" s="11"/>
      <c r="AW257" s="96"/>
      <c r="AX257" s="20"/>
      <c r="AY257" s="11"/>
      <c r="AZ257" s="11"/>
      <c r="BA257" s="11"/>
      <c r="BB257" s="11"/>
      <c r="BC257" s="11"/>
      <c r="BD257" s="11"/>
      <c r="BE257" s="11"/>
      <c r="BF257" s="11"/>
      <c r="BG257" s="11"/>
      <c r="BH257" s="11"/>
      <c r="BI257" s="11"/>
      <c r="BJ257" s="121"/>
      <c r="BK257" s="121"/>
      <c r="BL257" s="121"/>
      <c r="BM257" s="121"/>
      <c r="BN257" s="121"/>
      <c r="BO257" s="121"/>
      <c r="BP257" s="121"/>
      <c r="BQ257" s="121"/>
      <c r="BR257" s="645"/>
      <c r="BS257" s="121"/>
      <c r="BT257" s="121"/>
      <c r="BU257" s="121"/>
      <c r="BV257" s="121"/>
      <c r="BW257" s="121"/>
      <c r="BX257" s="121"/>
      <c r="BY257" s="121"/>
      <c r="BZ257" s="121"/>
      <c r="CA257" s="121"/>
      <c r="CB257" s="11"/>
      <c r="CC257" s="357"/>
      <c r="CD257" s="357"/>
      <c r="CE257" s="21"/>
      <c r="CF257" s="11"/>
      <c r="CG257" s="357"/>
      <c r="CH257" s="11"/>
      <c r="CI257" s="357"/>
      <c r="CJ257" s="11"/>
      <c r="CK257" s="11"/>
      <c r="CL257" s="11"/>
      <c r="CM257" s="11"/>
      <c r="CN257" s="11"/>
      <c r="CO257" s="357"/>
      <c r="CP257" s="357"/>
      <c r="CQ257" s="11"/>
      <c r="CR257" s="11"/>
      <c r="CS257" s="357"/>
      <c r="CT257" s="357"/>
      <c r="CU257" s="357"/>
      <c r="CV257" s="11"/>
      <c r="CW257" s="357"/>
      <c r="CX257" s="11"/>
      <c r="CY257" s="11"/>
      <c r="CZ257" s="11"/>
      <c r="DA257" s="11"/>
      <c r="DB257" s="157"/>
      <c r="DC257" s="11"/>
      <c r="DD257" s="357"/>
      <c r="DE257" s="357"/>
      <c r="DF257" s="21"/>
      <c r="DG257" s="357"/>
      <c r="DH257" s="357"/>
      <c r="DI257" s="11"/>
      <c r="DJ257" s="357"/>
      <c r="DK257" s="357"/>
      <c r="DL257" s="11"/>
      <c r="DM257" s="357"/>
      <c r="DN257" s="357"/>
      <c r="DO257" s="11"/>
      <c r="DP257" s="357"/>
      <c r="DQ257" s="357"/>
      <c r="DR257" s="11"/>
      <c r="DS257" s="357"/>
      <c r="DT257" s="357"/>
      <c r="DU257" s="11"/>
      <c r="DV257" s="357"/>
      <c r="DW257" s="357"/>
      <c r="DX257" s="11"/>
      <c r="DY257" s="357"/>
      <c r="DZ257" s="357"/>
      <c r="EA257" s="357"/>
      <c r="EB257" s="11"/>
      <c r="EC257" s="11"/>
      <c r="ED257" s="11"/>
      <c r="EE257" s="121"/>
      <c r="EF257" s="11"/>
      <c r="EG257" s="11"/>
      <c r="EH257" s="11"/>
      <c r="EI257" s="11"/>
      <c r="EJ257" s="11"/>
      <c r="EK257" s="11"/>
      <c r="EL257" s="11"/>
      <c r="EM257" s="228"/>
      <c r="EN257" s="11"/>
      <c r="EO257" s="11"/>
      <c r="EP257" s="11"/>
      <c r="EQ257" s="11"/>
      <c r="ER257" s="376"/>
      <c r="ES257" s="376"/>
      <c r="ET257" s="376"/>
      <c r="EU257" s="376"/>
      <c r="EV257" s="376"/>
      <c r="EW257" s="376"/>
      <c r="EY257" s="372"/>
      <c r="EZ257" s="543"/>
      <c r="FC257" s="11"/>
      <c r="FD257" s="11"/>
      <c r="FE257" s="11"/>
      <c r="FF257" s="11"/>
      <c r="FG257" s="11"/>
      <c r="FH257" s="11"/>
      <c r="FI257" s="11"/>
      <c r="FJ257" s="11"/>
      <c r="FK257" s="11"/>
      <c r="FL257" s="11"/>
      <c r="FM257" s="11"/>
      <c r="FN257" s="11"/>
      <c r="FO257" s="11"/>
      <c r="FP257" s="11"/>
      <c r="FQ257" s="11"/>
      <c r="FR257" s="11"/>
      <c r="FS257" s="11"/>
      <c r="FT257" s="11"/>
      <c r="FU257" s="11"/>
      <c r="FV257" s="11"/>
      <c r="FW257" s="11"/>
      <c r="FX257" s="391"/>
      <c r="FY257" s="391"/>
      <c r="FZ257" s="21"/>
      <c r="GA257" s="11"/>
      <c r="GB257" s="21"/>
      <c r="GC257" s="11"/>
      <c r="GD257" s="11"/>
      <c r="GE257" s="11"/>
      <c r="GF257" s="11"/>
      <c r="GG257" s="11"/>
      <c r="GH257" s="11"/>
      <c r="GI257" s="11"/>
      <c r="GJ257" s="11"/>
      <c r="GK257" s="411"/>
      <c r="GL257" s="11"/>
      <c r="GM257" s="11"/>
      <c r="GN257" s="11"/>
      <c r="GO257" s="11"/>
      <c r="GP257" s="11"/>
      <c r="GQ257" s="11"/>
      <c r="GR257" s="11"/>
      <c r="GS257" s="11"/>
      <c r="GT257" s="11"/>
      <c r="GU257" s="11"/>
      <c r="GV257" s="11"/>
      <c r="GW257" s="11"/>
      <c r="GX257" s="11"/>
      <c r="GY257" s="11"/>
      <c r="GZ257" s="11"/>
      <c r="HA257" s="11"/>
      <c r="HB257" s="11"/>
      <c r="HC257" s="11"/>
      <c r="HD257" s="21"/>
      <c r="HE257" s="11"/>
      <c r="HF257" s="11"/>
      <c r="HG257" s="11"/>
      <c r="HH257" s="11"/>
      <c r="HI257" s="11"/>
      <c r="HJ257" s="11"/>
      <c r="HK257" s="11"/>
      <c r="HL257" s="11"/>
      <c r="HM257" s="11"/>
      <c r="HN257" s="11"/>
      <c r="HO257" s="11"/>
      <c r="HP257" s="11"/>
      <c r="HQ257" s="40"/>
      <c r="HR257" s="40"/>
      <c r="HS257" s="40"/>
      <c r="HT257" s="40"/>
      <c r="HU257" s="40"/>
      <c r="HV257" s="11"/>
      <c r="HW257" s="11"/>
      <c r="HX257" s="40"/>
    </row>
    <row r="258" spans="1:232" s="25" customFormat="1">
      <c r="A258" s="785"/>
      <c r="B258" s="11"/>
      <c r="C258" s="11"/>
      <c r="D258" s="11"/>
      <c r="E258" s="11"/>
      <c r="F258" s="11"/>
      <c r="G258" s="11"/>
      <c r="H258" s="11"/>
      <c r="I258" s="11"/>
      <c r="J258" s="11"/>
      <c r="K258" s="210"/>
      <c r="L258" s="135"/>
      <c r="M258" s="135"/>
      <c r="N258" s="135"/>
      <c r="O258" s="11"/>
      <c r="P258" s="11"/>
      <c r="Q258" s="11"/>
      <c r="R258" s="11"/>
      <c r="S258" s="11"/>
      <c r="T258" s="11"/>
      <c r="U258" s="11"/>
      <c r="V258" s="11"/>
      <c r="W258" s="11"/>
      <c r="X258" s="11"/>
      <c r="Y258" s="11"/>
      <c r="Z258" s="11"/>
      <c r="AA258" s="11"/>
      <c r="AB258" s="11"/>
      <c r="AC258" s="11"/>
      <c r="AD258" s="11"/>
      <c r="AE258" s="11"/>
      <c r="AF258" s="11"/>
      <c r="AG258" s="11"/>
      <c r="AH258" s="11"/>
      <c r="AI258" s="11"/>
      <c r="AJ258" s="480"/>
      <c r="AK258" s="121"/>
      <c r="AL258" s="591"/>
      <c r="AM258" s="11"/>
      <c r="AN258" s="11"/>
      <c r="AO258" s="11"/>
      <c r="AP258" s="11"/>
      <c r="AQ258" s="11"/>
      <c r="AR258" s="11"/>
      <c r="AS258" s="11"/>
      <c r="AT258" s="11"/>
      <c r="AU258" s="11"/>
      <c r="AV258" s="11"/>
      <c r="AW258" s="96"/>
      <c r="AX258" s="20"/>
      <c r="AY258" s="11"/>
      <c r="AZ258" s="11"/>
      <c r="BA258" s="11"/>
      <c r="BB258" s="11"/>
      <c r="BC258" s="11"/>
      <c r="BD258" s="11"/>
      <c r="BE258" s="11"/>
      <c r="BF258" s="11"/>
      <c r="BG258" s="11"/>
      <c r="BH258" s="11"/>
      <c r="BI258" s="11"/>
      <c r="BJ258" s="121"/>
      <c r="BK258" s="121"/>
      <c r="BL258" s="121"/>
      <c r="BM258" s="121"/>
      <c r="BN258" s="121"/>
      <c r="BO258" s="121"/>
      <c r="BP258" s="121"/>
      <c r="BQ258" s="121"/>
      <c r="BR258" s="645"/>
      <c r="BS258" s="121"/>
      <c r="BT258" s="121"/>
      <c r="BU258" s="121"/>
      <c r="BV258" s="121"/>
      <c r="BW258" s="121"/>
      <c r="BX258" s="121"/>
      <c r="BY258" s="121"/>
      <c r="BZ258" s="121"/>
      <c r="CA258" s="121"/>
      <c r="CB258" s="11"/>
      <c r="CC258" s="357"/>
      <c r="CD258" s="357"/>
      <c r="CE258" s="21"/>
      <c r="CF258" s="11"/>
      <c r="CG258" s="357"/>
      <c r="CH258" s="11"/>
      <c r="CI258" s="357"/>
      <c r="CJ258" s="11"/>
      <c r="CK258" s="11"/>
      <c r="CL258" s="11"/>
      <c r="CM258" s="11"/>
      <c r="CN258" s="11"/>
      <c r="CO258" s="357"/>
      <c r="CP258" s="357"/>
      <c r="CQ258" s="11"/>
      <c r="CR258" s="11"/>
      <c r="CS258" s="357"/>
      <c r="CT258" s="357"/>
      <c r="CU258" s="357"/>
      <c r="CV258" s="11"/>
      <c r="CW258" s="357"/>
      <c r="CX258" s="11"/>
      <c r="CY258" s="11"/>
      <c r="CZ258" s="11"/>
      <c r="DA258" s="11"/>
      <c r="DB258" s="157"/>
      <c r="DC258" s="11"/>
      <c r="DD258" s="357"/>
      <c r="DE258" s="357"/>
      <c r="DF258" s="21"/>
      <c r="DG258" s="357"/>
      <c r="DH258" s="357"/>
      <c r="DI258" s="11"/>
      <c r="DJ258" s="357"/>
      <c r="DK258" s="357"/>
      <c r="DL258" s="11"/>
      <c r="DM258" s="357"/>
      <c r="DN258" s="357"/>
      <c r="DO258" s="11"/>
      <c r="DP258" s="357"/>
      <c r="DQ258" s="357"/>
      <c r="DR258" s="11"/>
      <c r="DS258" s="357"/>
      <c r="DT258" s="357"/>
      <c r="DU258" s="11"/>
      <c r="DV258" s="357"/>
      <c r="DW258" s="357"/>
      <c r="DX258" s="11"/>
      <c r="DY258" s="357"/>
      <c r="DZ258" s="357"/>
      <c r="EA258" s="357"/>
      <c r="EB258" s="11"/>
      <c r="EC258" s="11"/>
      <c r="ED258" s="11"/>
      <c r="EE258" s="121"/>
      <c r="EF258" s="11"/>
      <c r="EG258" s="11"/>
      <c r="EH258" s="11"/>
      <c r="EI258" s="11"/>
      <c r="EJ258" s="11"/>
      <c r="EK258" s="11"/>
      <c r="EL258" s="11"/>
      <c r="EM258" s="228"/>
      <c r="EN258" s="11"/>
      <c r="EO258" s="11"/>
      <c r="EP258" s="11"/>
      <c r="EQ258" s="11"/>
      <c r="ER258" s="376"/>
      <c r="ES258" s="376"/>
      <c r="ET258" s="376"/>
      <c r="EU258" s="376"/>
      <c r="EV258" s="376"/>
      <c r="EW258" s="376"/>
      <c r="EY258" s="372"/>
      <c r="EZ258" s="543"/>
      <c r="FC258" s="11"/>
      <c r="FD258" s="11"/>
      <c r="FE258" s="11"/>
      <c r="FF258" s="11"/>
      <c r="FG258" s="11"/>
      <c r="FH258" s="11"/>
      <c r="FI258" s="11"/>
      <c r="FJ258" s="11"/>
      <c r="FK258" s="11"/>
      <c r="FL258" s="11"/>
      <c r="FM258" s="11"/>
      <c r="FN258" s="11"/>
      <c r="FO258" s="11"/>
      <c r="FP258" s="11"/>
      <c r="FQ258" s="11"/>
      <c r="FR258" s="11"/>
      <c r="FS258" s="11"/>
      <c r="FT258" s="11"/>
      <c r="FU258" s="11"/>
      <c r="FV258" s="11"/>
      <c r="FW258" s="11"/>
      <c r="FX258" s="391"/>
      <c r="FY258" s="391"/>
      <c r="FZ258" s="21"/>
      <c r="GA258" s="11"/>
      <c r="GB258" s="21"/>
      <c r="GC258" s="11"/>
      <c r="GD258" s="11"/>
      <c r="GE258" s="11"/>
      <c r="GF258" s="11"/>
      <c r="GG258" s="11"/>
      <c r="GH258" s="11"/>
      <c r="GI258" s="11"/>
      <c r="GJ258" s="11"/>
      <c r="GK258" s="411"/>
      <c r="GL258" s="11"/>
      <c r="GM258" s="11"/>
      <c r="GN258" s="11"/>
      <c r="GO258" s="11"/>
      <c r="GP258" s="11"/>
      <c r="GQ258" s="11"/>
      <c r="GR258" s="11"/>
      <c r="GS258" s="11"/>
      <c r="GT258" s="11"/>
      <c r="GU258" s="11"/>
      <c r="GV258" s="11"/>
      <c r="GW258" s="11"/>
      <c r="GX258" s="11"/>
      <c r="GY258" s="11"/>
      <c r="GZ258" s="11"/>
      <c r="HA258" s="11"/>
      <c r="HB258" s="11"/>
      <c r="HC258" s="11"/>
      <c r="HD258" s="21"/>
      <c r="HE258" s="11"/>
      <c r="HF258" s="11"/>
      <c r="HG258" s="11"/>
      <c r="HH258" s="11"/>
      <c r="HI258" s="11"/>
      <c r="HJ258" s="11"/>
      <c r="HK258" s="11"/>
      <c r="HL258" s="11"/>
      <c r="HM258" s="11"/>
      <c r="HN258" s="11"/>
      <c r="HO258" s="11"/>
      <c r="HP258" s="11"/>
      <c r="HQ258" s="40"/>
      <c r="HR258" s="40"/>
      <c r="HS258" s="40"/>
      <c r="HT258" s="40"/>
      <c r="HU258" s="40"/>
      <c r="HV258" s="11"/>
      <c r="HW258" s="11"/>
      <c r="HX258" s="40"/>
    </row>
    <row r="259" spans="1:232" s="25" customFormat="1">
      <c r="A259" s="785"/>
      <c r="B259" s="11"/>
      <c r="C259" s="11"/>
      <c r="D259" s="11"/>
      <c r="E259" s="11"/>
      <c r="F259" s="11"/>
      <c r="G259" s="11"/>
      <c r="H259" s="11"/>
      <c r="I259" s="11"/>
      <c r="J259" s="11"/>
      <c r="K259" s="210"/>
      <c r="L259" s="135"/>
      <c r="M259" s="135"/>
      <c r="N259" s="135"/>
      <c r="O259" s="11"/>
      <c r="P259" s="11"/>
      <c r="Q259" s="11"/>
      <c r="R259" s="11"/>
      <c r="S259" s="11"/>
      <c r="T259" s="11"/>
      <c r="U259" s="11"/>
      <c r="V259" s="11"/>
      <c r="W259" s="11"/>
      <c r="X259" s="11"/>
      <c r="Y259" s="11"/>
      <c r="Z259" s="11"/>
      <c r="AA259" s="11"/>
      <c r="AB259" s="11"/>
      <c r="AC259" s="11"/>
      <c r="AD259" s="11"/>
      <c r="AE259" s="11"/>
      <c r="AF259" s="11"/>
      <c r="AG259" s="11"/>
      <c r="AH259" s="11"/>
      <c r="AI259" s="11"/>
      <c r="AJ259" s="480"/>
      <c r="AK259" s="121"/>
      <c r="AL259" s="591"/>
      <c r="AM259" s="11"/>
      <c r="AN259" s="11"/>
      <c r="AO259" s="11"/>
      <c r="AP259" s="11"/>
      <c r="AQ259" s="11"/>
      <c r="AR259" s="11"/>
      <c r="AS259" s="11"/>
      <c r="AT259" s="11"/>
      <c r="AU259" s="11"/>
      <c r="AV259" s="11"/>
      <c r="AW259" s="96"/>
      <c r="AX259" s="20"/>
      <c r="AY259" s="11"/>
      <c r="AZ259" s="11"/>
      <c r="BA259" s="11"/>
      <c r="BB259" s="11"/>
      <c r="BC259" s="11"/>
      <c r="BD259" s="11"/>
      <c r="BE259" s="11"/>
      <c r="BF259" s="11"/>
      <c r="BG259" s="11"/>
      <c r="BH259" s="11"/>
      <c r="BI259" s="11"/>
      <c r="BJ259" s="121"/>
      <c r="BK259" s="121"/>
      <c r="BL259" s="121"/>
      <c r="BM259" s="121"/>
      <c r="BN259" s="121"/>
      <c r="BO259" s="121"/>
      <c r="BP259" s="121"/>
      <c r="BQ259" s="121"/>
      <c r="BR259" s="645"/>
      <c r="BS259" s="121"/>
      <c r="BT259" s="121"/>
      <c r="BU259" s="121"/>
      <c r="BV259" s="121"/>
      <c r="BW259" s="121"/>
      <c r="BX259" s="121"/>
      <c r="BY259" s="121"/>
      <c r="BZ259" s="121"/>
      <c r="CA259" s="121"/>
      <c r="CB259" s="11"/>
      <c r="CC259" s="357"/>
      <c r="CD259" s="357"/>
      <c r="CE259" s="21"/>
      <c r="CF259" s="11"/>
      <c r="CG259" s="357"/>
      <c r="CH259" s="11"/>
      <c r="CI259" s="357"/>
      <c r="CJ259" s="11"/>
      <c r="CK259" s="11"/>
      <c r="CL259" s="11"/>
      <c r="CM259" s="11"/>
      <c r="CN259" s="11"/>
      <c r="CO259" s="357"/>
      <c r="CP259" s="357"/>
      <c r="CQ259" s="11"/>
      <c r="CR259" s="11"/>
      <c r="CS259" s="357"/>
      <c r="CT259" s="357"/>
      <c r="CU259" s="357"/>
      <c r="CV259" s="11"/>
      <c r="CW259" s="357"/>
      <c r="CX259" s="11"/>
      <c r="CY259" s="11"/>
      <c r="CZ259" s="11"/>
      <c r="DA259" s="11"/>
      <c r="DB259" s="157"/>
      <c r="DC259" s="11"/>
      <c r="DD259" s="357"/>
      <c r="DE259" s="357"/>
      <c r="DF259" s="21"/>
      <c r="DG259" s="357"/>
      <c r="DH259" s="357"/>
      <c r="DI259" s="11"/>
      <c r="DJ259" s="357"/>
      <c r="DK259" s="357"/>
      <c r="DL259" s="11"/>
      <c r="DM259" s="357"/>
      <c r="DN259" s="357"/>
      <c r="DO259" s="11"/>
      <c r="DP259" s="357"/>
      <c r="DQ259" s="357"/>
      <c r="DR259" s="11"/>
      <c r="DS259" s="357"/>
      <c r="DT259" s="357"/>
      <c r="DU259" s="11"/>
      <c r="DV259" s="357"/>
      <c r="DW259" s="357"/>
      <c r="DX259" s="11"/>
      <c r="DY259" s="357"/>
      <c r="DZ259" s="357"/>
      <c r="EA259" s="357"/>
      <c r="EB259" s="11"/>
      <c r="EC259" s="11"/>
      <c r="ED259" s="11"/>
      <c r="EE259" s="121"/>
      <c r="EF259" s="11"/>
      <c r="EG259" s="11"/>
      <c r="EH259" s="11"/>
      <c r="EI259" s="11"/>
      <c r="EJ259" s="11"/>
      <c r="EK259" s="11"/>
      <c r="EL259" s="11"/>
      <c r="EM259" s="228"/>
      <c r="EN259" s="11"/>
      <c r="EO259" s="11"/>
      <c r="EP259" s="11"/>
      <c r="EQ259" s="11"/>
      <c r="ER259" s="376"/>
      <c r="ES259" s="376"/>
      <c r="ET259" s="376"/>
      <c r="EU259" s="376"/>
      <c r="EV259" s="376"/>
      <c r="EW259" s="376"/>
      <c r="EY259" s="372"/>
      <c r="EZ259" s="543"/>
      <c r="FC259" s="11"/>
      <c r="FD259" s="11"/>
      <c r="FE259" s="11"/>
      <c r="FF259" s="11"/>
      <c r="FG259" s="11"/>
      <c r="FH259" s="11"/>
      <c r="FI259" s="11"/>
      <c r="FJ259" s="11"/>
      <c r="FK259" s="11"/>
      <c r="FL259" s="11"/>
      <c r="FM259" s="11"/>
      <c r="FN259" s="11"/>
      <c r="FO259" s="11"/>
      <c r="FP259" s="11"/>
      <c r="FQ259" s="11"/>
      <c r="FR259" s="11"/>
      <c r="FS259" s="11"/>
      <c r="FT259" s="11"/>
      <c r="FU259" s="11"/>
      <c r="FV259" s="11"/>
      <c r="FW259" s="11"/>
      <c r="FX259" s="391"/>
      <c r="FY259" s="391"/>
      <c r="FZ259" s="21"/>
      <c r="GA259" s="11"/>
      <c r="GB259" s="21"/>
      <c r="GC259" s="11"/>
      <c r="GD259" s="11"/>
      <c r="GE259" s="11"/>
      <c r="GF259" s="11"/>
      <c r="GG259" s="11"/>
      <c r="GH259" s="11"/>
      <c r="GI259" s="11"/>
      <c r="GJ259" s="11"/>
      <c r="GK259" s="411"/>
      <c r="GL259" s="11"/>
      <c r="GM259" s="11"/>
      <c r="GN259" s="11"/>
      <c r="GO259" s="11"/>
      <c r="GP259" s="11"/>
      <c r="GQ259" s="11"/>
      <c r="GR259" s="11"/>
      <c r="GS259" s="11"/>
      <c r="GT259" s="11"/>
      <c r="GU259" s="11"/>
      <c r="GV259" s="11"/>
      <c r="GW259" s="11"/>
      <c r="GX259" s="11"/>
      <c r="GY259" s="11"/>
      <c r="GZ259" s="11"/>
      <c r="HA259" s="11"/>
      <c r="HB259" s="11"/>
      <c r="HC259" s="11"/>
      <c r="HD259" s="21"/>
      <c r="HE259" s="11"/>
      <c r="HF259" s="11"/>
      <c r="HG259" s="11"/>
      <c r="HH259" s="11"/>
      <c r="HI259" s="11"/>
      <c r="HJ259" s="11"/>
      <c r="HK259" s="11"/>
      <c r="HL259" s="11"/>
      <c r="HM259" s="11"/>
      <c r="HN259" s="11"/>
      <c r="HO259" s="11"/>
      <c r="HP259" s="11"/>
      <c r="HQ259" s="40"/>
      <c r="HR259" s="40"/>
      <c r="HS259" s="40"/>
      <c r="HT259" s="40"/>
      <c r="HU259" s="40"/>
      <c r="HV259" s="11"/>
      <c r="HW259" s="11"/>
      <c r="HX259" s="40"/>
    </row>
    <row r="260" spans="1:232" s="25" customFormat="1">
      <c r="A260" s="785"/>
      <c r="B260" s="11"/>
      <c r="C260" s="11"/>
      <c r="D260" s="11"/>
      <c r="E260" s="11"/>
      <c r="F260" s="11"/>
      <c r="G260" s="11"/>
      <c r="H260" s="11"/>
      <c r="I260" s="11"/>
      <c r="J260" s="11"/>
      <c r="K260" s="210"/>
      <c r="L260" s="135"/>
      <c r="M260" s="135"/>
      <c r="N260" s="135"/>
      <c r="O260" s="11"/>
      <c r="P260" s="11"/>
      <c r="Q260" s="11"/>
      <c r="R260" s="11"/>
      <c r="S260" s="11"/>
      <c r="T260" s="11"/>
      <c r="U260" s="11"/>
      <c r="V260" s="11"/>
      <c r="W260" s="11"/>
      <c r="X260" s="11"/>
      <c r="Y260" s="11"/>
      <c r="Z260" s="11"/>
      <c r="AA260" s="11"/>
      <c r="AB260" s="11"/>
      <c r="AC260" s="11"/>
      <c r="AD260" s="11"/>
      <c r="AE260" s="11"/>
      <c r="AF260" s="11"/>
      <c r="AG260" s="11"/>
      <c r="AH260" s="11"/>
      <c r="AI260" s="11"/>
      <c r="AJ260" s="480"/>
      <c r="AK260" s="121"/>
      <c r="AL260" s="591"/>
      <c r="AM260" s="11"/>
      <c r="AN260" s="11"/>
      <c r="AO260" s="11"/>
      <c r="AP260" s="11"/>
      <c r="AQ260" s="11"/>
      <c r="AR260" s="11"/>
      <c r="AS260" s="11"/>
      <c r="AT260" s="11"/>
      <c r="AU260" s="11"/>
      <c r="AV260" s="11"/>
      <c r="AW260" s="96"/>
      <c r="AX260" s="20"/>
      <c r="AY260" s="11"/>
      <c r="AZ260" s="11"/>
      <c r="BA260" s="11"/>
      <c r="BB260" s="11"/>
      <c r="BC260" s="11"/>
      <c r="BD260" s="11"/>
      <c r="BE260" s="11"/>
      <c r="BF260" s="11"/>
      <c r="BG260" s="11"/>
      <c r="BH260" s="11"/>
      <c r="BI260" s="11"/>
      <c r="BJ260" s="121"/>
      <c r="BK260" s="121"/>
      <c r="BL260" s="121"/>
      <c r="BM260" s="121"/>
      <c r="BN260" s="121"/>
      <c r="BO260" s="121"/>
      <c r="BP260" s="121"/>
      <c r="BQ260" s="121"/>
      <c r="BR260" s="645"/>
      <c r="BS260" s="121"/>
      <c r="BT260" s="121"/>
      <c r="BU260" s="121"/>
      <c r="BV260" s="121"/>
      <c r="BW260" s="121"/>
      <c r="BX260" s="121"/>
      <c r="BY260" s="121"/>
      <c r="BZ260" s="121"/>
      <c r="CA260" s="121"/>
      <c r="CB260" s="11"/>
      <c r="CC260" s="357"/>
      <c r="CD260" s="357"/>
      <c r="CE260" s="21"/>
      <c r="CF260" s="11"/>
      <c r="CG260" s="357"/>
      <c r="CH260" s="11"/>
      <c r="CI260" s="357"/>
      <c r="CJ260" s="11"/>
      <c r="CK260" s="11"/>
      <c r="CL260" s="11"/>
      <c r="CM260" s="11"/>
      <c r="CN260" s="11"/>
      <c r="CO260" s="357"/>
      <c r="CP260" s="357"/>
      <c r="CQ260" s="11"/>
      <c r="CR260" s="11"/>
      <c r="CS260" s="357"/>
      <c r="CT260" s="357"/>
      <c r="CU260" s="357"/>
      <c r="CV260" s="11"/>
      <c r="CW260" s="357"/>
      <c r="CX260" s="11"/>
      <c r="CY260" s="11"/>
      <c r="CZ260" s="11"/>
      <c r="DA260" s="11"/>
      <c r="DB260" s="157"/>
      <c r="DC260" s="11"/>
      <c r="DD260" s="357"/>
      <c r="DE260" s="357"/>
      <c r="DF260" s="21"/>
      <c r="DG260" s="357"/>
      <c r="DH260" s="357"/>
      <c r="DI260" s="11"/>
      <c r="DJ260" s="357"/>
      <c r="DK260" s="357"/>
      <c r="DL260" s="11"/>
      <c r="DM260" s="357"/>
      <c r="DN260" s="357"/>
      <c r="DO260" s="11"/>
      <c r="DP260" s="357"/>
      <c r="DQ260" s="357"/>
      <c r="DR260" s="11"/>
      <c r="DS260" s="357"/>
      <c r="DT260" s="357"/>
      <c r="DU260" s="11"/>
      <c r="DV260" s="357"/>
      <c r="DW260" s="357"/>
      <c r="DX260" s="11"/>
      <c r="DY260" s="357"/>
      <c r="DZ260" s="357"/>
      <c r="EA260" s="357"/>
      <c r="EB260" s="11"/>
      <c r="EC260" s="11"/>
      <c r="ED260" s="11"/>
      <c r="EE260" s="121"/>
      <c r="EF260" s="11"/>
      <c r="EG260" s="11"/>
      <c r="EH260" s="11"/>
      <c r="EI260" s="11"/>
      <c r="EJ260" s="11"/>
      <c r="EK260" s="11"/>
      <c r="EL260" s="11"/>
      <c r="EM260" s="228"/>
      <c r="EN260" s="11"/>
      <c r="EO260" s="11"/>
      <c r="EP260" s="11"/>
      <c r="EQ260" s="11"/>
      <c r="ER260" s="376"/>
      <c r="ES260" s="376"/>
      <c r="ET260" s="376"/>
      <c r="EU260" s="376"/>
      <c r="EV260" s="376"/>
      <c r="EW260" s="376"/>
      <c r="EY260" s="372"/>
      <c r="EZ260" s="543"/>
      <c r="FC260" s="11"/>
      <c r="FD260" s="11"/>
      <c r="FE260" s="11"/>
      <c r="FF260" s="11"/>
      <c r="FG260" s="11"/>
      <c r="FH260" s="11"/>
      <c r="FI260" s="11"/>
      <c r="FJ260" s="11"/>
      <c r="FK260" s="11"/>
      <c r="FL260" s="11"/>
      <c r="FM260" s="11"/>
      <c r="FN260" s="11"/>
      <c r="FO260" s="11"/>
      <c r="FP260" s="11"/>
      <c r="FQ260" s="11"/>
      <c r="FR260" s="11"/>
      <c r="FS260" s="11"/>
      <c r="FT260" s="11"/>
      <c r="FU260" s="11"/>
      <c r="FV260" s="11"/>
      <c r="FW260" s="11"/>
      <c r="FX260" s="391"/>
      <c r="FY260" s="391"/>
      <c r="FZ260" s="21"/>
      <c r="GA260" s="11"/>
      <c r="GB260" s="21"/>
      <c r="GC260" s="11"/>
      <c r="GD260" s="11"/>
      <c r="GE260" s="11"/>
      <c r="GF260" s="11"/>
      <c r="GG260" s="11"/>
      <c r="GH260" s="11"/>
      <c r="GI260" s="11"/>
      <c r="GJ260" s="11"/>
      <c r="GK260" s="411"/>
      <c r="GL260" s="11"/>
      <c r="GM260" s="11"/>
      <c r="GN260" s="11"/>
      <c r="GO260" s="11"/>
      <c r="GP260" s="11"/>
      <c r="GQ260" s="11"/>
      <c r="GR260" s="11"/>
      <c r="GS260" s="11"/>
      <c r="GT260" s="11"/>
      <c r="GU260" s="11"/>
      <c r="GV260" s="11"/>
      <c r="GW260" s="11"/>
      <c r="GX260" s="11"/>
      <c r="GY260" s="11"/>
      <c r="GZ260" s="11"/>
      <c r="HA260" s="11"/>
      <c r="HB260" s="11"/>
      <c r="HC260" s="11"/>
      <c r="HD260" s="21"/>
      <c r="HE260" s="11"/>
      <c r="HF260" s="11"/>
      <c r="HG260" s="11"/>
      <c r="HH260" s="11"/>
      <c r="HI260" s="11"/>
      <c r="HJ260" s="11"/>
      <c r="HK260" s="11"/>
      <c r="HL260" s="11"/>
      <c r="HM260" s="11"/>
      <c r="HN260" s="11"/>
      <c r="HO260" s="11"/>
      <c r="HP260" s="11"/>
      <c r="HQ260" s="40"/>
      <c r="HR260" s="40"/>
      <c r="HS260" s="40"/>
      <c r="HT260" s="40"/>
      <c r="HU260" s="40"/>
      <c r="HV260" s="11"/>
      <c r="HW260" s="11"/>
      <c r="HX260" s="40"/>
    </row>
    <row r="261" spans="1:232" s="25" customFormat="1">
      <c r="A261" s="785"/>
      <c r="B261" s="11"/>
      <c r="C261" s="11"/>
      <c r="D261" s="11"/>
      <c r="E261" s="11"/>
      <c r="F261" s="11"/>
      <c r="G261" s="11"/>
      <c r="H261" s="11"/>
      <c r="I261" s="11"/>
      <c r="J261" s="11"/>
      <c r="K261" s="210"/>
      <c r="L261" s="135"/>
      <c r="M261" s="135"/>
      <c r="N261" s="135"/>
      <c r="O261" s="11"/>
      <c r="P261" s="11"/>
      <c r="Q261" s="11"/>
      <c r="R261" s="11"/>
      <c r="S261" s="11"/>
      <c r="T261" s="11"/>
      <c r="U261" s="11"/>
      <c r="V261" s="11"/>
      <c r="W261" s="11"/>
      <c r="X261" s="11"/>
      <c r="Y261" s="11"/>
      <c r="Z261" s="11"/>
      <c r="AA261" s="11"/>
      <c r="AB261" s="11"/>
      <c r="AC261" s="11"/>
      <c r="AD261" s="11"/>
      <c r="AE261" s="11"/>
      <c r="AF261" s="11"/>
      <c r="AG261" s="11"/>
      <c r="AH261" s="11"/>
      <c r="AI261" s="11"/>
      <c r="AJ261" s="480"/>
      <c r="AK261" s="121"/>
      <c r="AL261" s="591"/>
      <c r="AM261" s="11"/>
      <c r="AN261" s="11"/>
      <c r="AO261" s="11"/>
      <c r="AP261" s="11"/>
      <c r="AQ261" s="11"/>
      <c r="AR261" s="11"/>
      <c r="AS261" s="11"/>
      <c r="AT261" s="11"/>
      <c r="AU261" s="11"/>
      <c r="AV261" s="11"/>
      <c r="AW261" s="96"/>
      <c r="AX261" s="20"/>
      <c r="AY261" s="11"/>
      <c r="AZ261" s="11"/>
      <c r="BA261" s="11"/>
      <c r="BB261" s="11"/>
      <c r="BC261" s="11"/>
      <c r="BD261" s="11"/>
      <c r="BE261" s="11"/>
      <c r="BF261" s="11"/>
      <c r="BG261" s="11"/>
      <c r="BH261" s="11"/>
      <c r="BI261" s="11"/>
      <c r="BJ261" s="121"/>
      <c r="BK261" s="121"/>
      <c r="BL261" s="121"/>
      <c r="BM261" s="121"/>
      <c r="BN261" s="121"/>
      <c r="BO261" s="121"/>
      <c r="BP261" s="121"/>
      <c r="BQ261" s="121"/>
      <c r="BR261" s="645"/>
      <c r="BS261" s="121"/>
      <c r="BT261" s="121"/>
      <c r="BU261" s="121"/>
      <c r="BV261" s="121"/>
      <c r="BW261" s="121"/>
      <c r="BX261" s="121"/>
      <c r="BY261" s="121"/>
      <c r="BZ261" s="121"/>
      <c r="CA261" s="121"/>
      <c r="CB261" s="11"/>
      <c r="CC261" s="357"/>
      <c r="CD261" s="357"/>
      <c r="CE261" s="21"/>
      <c r="CF261" s="11"/>
      <c r="CG261" s="357"/>
      <c r="CH261" s="11"/>
      <c r="CI261" s="357"/>
      <c r="CJ261" s="11"/>
      <c r="CK261" s="11"/>
      <c r="CL261" s="11"/>
      <c r="CM261" s="11"/>
      <c r="CN261" s="11"/>
      <c r="CO261" s="357"/>
      <c r="CP261" s="357"/>
      <c r="CQ261" s="11"/>
      <c r="CR261" s="11"/>
      <c r="CS261" s="357"/>
      <c r="CT261" s="357"/>
      <c r="CU261" s="357"/>
      <c r="CV261" s="11"/>
      <c r="CW261" s="357"/>
      <c r="CX261" s="11"/>
      <c r="CY261" s="11"/>
      <c r="CZ261" s="11"/>
      <c r="DA261" s="11"/>
      <c r="DB261" s="157"/>
      <c r="DC261" s="11"/>
      <c r="DD261" s="357"/>
      <c r="DE261" s="357"/>
      <c r="DF261" s="21"/>
      <c r="DG261" s="357"/>
      <c r="DH261" s="357"/>
      <c r="DI261" s="11"/>
      <c r="DJ261" s="357"/>
      <c r="DK261" s="357"/>
      <c r="DL261" s="11"/>
      <c r="DM261" s="357"/>
      <c r="DN261" s="357"/>
      <c r="DO261" s="11"/>
      <c r="DP261" s="357"/>
      <c r="DQ261" s="357"/>
      <c r="DR261" s="11"/>
      <c r="DS261" s="357"/>
      <c r="DT261" s="357"/>
      <c r="DU261" s="11"/>
      <c r="DV261" s="357"/>
      <c r="DW261" s="357"/>
      <c r="DX261" s="11"/>
      <c r="DY261" s="357"/>
      <c r="DZ261" s="357"/>
      <c r="EA261" s="357"/>
      <c r="EB261" s="11"/>
      <c r="EC261" s="11"/>
      <c r="ED261" s="11"/>
      <c r="EE261" s="121"/>
      <c r="EF261" s="11"/>
      <c r="EG261" s="11"/>
      <c r="EH261" s="11"/>
      <c r="EI261" s="11"/>
      <c r="EJ261" s="11"/>
      <c r="EK261" s="11"/>
      <c r="EL261" s="11"/>
      <c r="EM261" s="228"/>
      <c r="EN261" s="11"/>
      <c r="EO261" s="11"/>
      <c r="EP261" s="11"/>
      <c r="EQ261" s="11"/>
      <c r="ER261" s="376"/>
      <c r="ES261" s="376"/>
      <c r="ET261" s="376"/>
      <c r="EU261" s="376"/>
      <c r="EV261" s="376"/>
      <c r="EW261" s="376"/>
      <c r="EY261" s="372"/>
      <c r="EZ261" s="543"/>
      <c r="FC261" s="11"/>
      <c r="FD261" s="11"/>
      <c r="FE261" s="11"/>
      <c r="FF261" s="11"/>
      <c r="FG261" s="11"/>
      <c r="FH261" s="11"/>
      <c r="FI261" s="11"/>
      <c r="FJ261" s="11"/>
      <c r="FK261" s="11"/>
      <c r="FL261" s="11"/>
      <c r="FM261" s="11"/>
      <c r="FN261" s="11"/>
      <c r="FO261" s="11"/>
      <c r="FP261" s="11"/>
      <c r="FQ261" s="11"/>
      <c r="FR261" s="11"/>
      <c r="FS261" s="11"/>
      <c r="FT261" s="11"/>
      <c r="FU261" s="11"/>
      <c r="FV261" s="11"/>
      <c r="FW261" s="11"/>
      <c r="FX261" s="391"/>
      <c r="FY261" s="391"/>
      <c r="FZ261" s="21"/>
      <c r="GA261" s="11"/>
      <c r="GB261" s="21"/>
      <c r="GC261" s="11"/>
      <c r="GD261" s="11"/>
      <c r="GE261" s="11"/>
      <c r="GF261" s="11"/>
      <c r="GG261" s="11"/>
      <c r="GH261" s="11"/>
      <c r="GI261" s="11"/>
      <c r="GJ261" s="11"/>
      <c r="GK261" s="411"/>
      <c r="GL261" s="11"/>
      <c r="GM261" s="11"/>
      <c r="GN261" s="11"/>
      <c r="GO261" s="11"/>
      <c r="GP261" s="11"/>
      <c r="GQ261" s="11"/>
      <c r="GR261" s="11"/>
      <c r="GS261" s="11"/>
      <c r="GT261" s="11"/>
      <c r="GU261" s="11"/>
      <c r="GV261" s="11"/>
      <c r="GW261" s="11"/>
      <c r="GX261" s="11"/>
      <c r="GY261" s="11"/>
      <c r="GZ261" s="11"/>
      <c r="HA261" s="11"/>
      <c r="HB261" s="11"/>
      <c r="HC261" s="11"/>
      <c r="HD261" s="21"/>
      <c r="HE261" s="11"/>
      <c r="HF261" s="11"/>
      <c r="HG261" s="11"/>
      <c r="HH261" s="11"/>
      <c r="HI261" s="11"/>
      <c r="HJ261" s="11"/>
      <c r="HK261" s="11"/>
      <c r="HL261" s="11"/>
      <c r="HM261" s="11"/>
      <c r="HN261" s="11"/>
      <c r="HO261" s="11"/>
      <c r="HP261" s="11"/>
      <c r="HQ261" s="40"/>
      <c r="HR261" s="40"/>
      <c r="HS261" s="40"/>
      <c r="HT261" s="40"/>
      <c r="HU261" s="40"/>
      <c r="HV261" s="11"/>
      <c r="HW261" s="11"/>
      <c r="HX261" s="40"/>
    </row>
    <row r="262" spans="1:232" s="25" customFormat="1">
      <c r="A262" s="785"/>
      <c r="B262" s="11"/>
      <c r="C262" s="11"/>
      <c r="D262" s="11"/>
      <c r="E262" s="11"/>
      <c r="F262" s="11"/>
      <c r="G262" s="11"/>
      <c r="H262" s="11"/>
      <c r="I262" s="11"/>
      <c r="J262" s="11"/>
      <c r="K262" s="210"/>
      <c r="L262" s="135"/>
      <c r="M262" s="135"/>
      <c r="N262" s="135"/>
      <c r="O262" s="11"/>
      <c r="P262" s="11"/>
      <c r="Q262" s="11"/>
      <c r="R262" s="11"/>
      <c r="S262" s="11"/>
      <c r="T262" s="11"/>
      <c r="U262" s="11"/>
      <c r="V262" s="11"/>
      <c r="W262" s="11"/>
      <c r="X262" s="11"/>
      <c r="Y262" s="11"/>
      <c r="Z262" s="11"/>
      <c r="AA262" s="11"/>
      <c r="AB262" s="11"/>
      <c r="AC262" s="11"/>
      <c r="AD262" s="11"/>
      <c r="AE262" s="11"/>
      <c r="AF262" s="11"/>
      <c r="AG262" s="11"/>
      <c r="AH262" s="11"/>
      <c r="AI262" s="11"/>
      <c r="AJ262" s="480"/>
      <c r="AK262" s="121"/>
      <c r="AL262" s="591"/>
      <c r="AM262" s="11"/>
      <c r="AN262" s="11"/>
      <c r="AO262" s="11"/>
      <c r="AP262" s="11"/>
      <c r="AQ262" s="11"/>
      <c r="AR262" s="11"/>
      <c r="AS262" s="11"/>
      <c r="AT262" s="11"/>
      <c r="AU262" s="11"/>
      <c r="AV262" s="11"/>
      <c r="AW262" s="96"/>
      <c r="AX262" s="20"/>
      <c r="AY262" s="11"/>
      <c r="AZ262" s="11"/>
      <c r="BA262" s="11"/>
      <c r="BB262" s="11"/>
      <c r="BC262" s="11"/>
      <c r="BD262" s="11"/>
      <c r="BE262" s="11"/>
      <c r="BF262" s="11"/>
      <c r="BG262" s="11"/>
      <c r="BH262" s="11"/>
      <c r="BI262" s="11"/>
      <c r="BJ262" s="121"/>
      <c r="BK262" s="121"/>
      <c r="BL262" s="121"/>
      <c r="BM262" s="121"/>
      <c r="BN262" s="121"/>
      <c r="BO262" s="121"/>
      <c r="BP262" s="121"/>
      <c r="BQ262" s="121"/>
      <c r="BR262" s="645"/>
      <c r="BS262" s="121"/>
      <c r="BT262" s="121"/>
      <c r="BU262" s="121"/>
      <c r="BV262" s="121"/>
      <c r="BW262" s="121"/>
      <c r="BX262" s="121"/>
      <c r="BY262" s="121"/>
      <c r="BZ262" s="121"/>
      <c r="CA262" s="121"/>
      <c r="CB262" s="11"/>
      <c r="CC262" s="357"/>
      <c r="CD262" s="357"/>
      <c r="CE262" s="21"/>
      <c r="CF262" s="11"/>
      <c r="CG262" s="357"/>
      <c r="CH262" s="11"/>
      <c r="CI262" s="357"/>
      <c r="CJ262" s="11"/>
      <c r="CK262" s="11"/>
      <c r="CL262" s="11"/>
      <c r="CM262" s="11"/>
      <c r="CN262" s="11"/>
      <c r="CO262" s="357"/>
      <c r="CP262" s="357"/>
      <c r="CQ262" s="11"/>
      <c r="CR262" s="11"/>
      <c r="CS262" s="357"/>
      <c r="CT262" s="357"/>
      <c r="CU262" s="357"/>
      <c r="CV262" s="11"/>
      <c r="CW262" s="357"/>
      <c r="CX262" s="11"/>
      <c r="CY262" s="11"/>
      <c r="CZ262" s="11"/>
      <c r="DA262" s="11"/>
      <c r="DB262" s="157"/>
      <c r="DC262" s="11"/>
      <c r="DD262" s="357"/>
      <c r="DE262" s="357"/>
      <c r="DF262" s="21"/>
      <c r="DG262" s="357"/>
      <c r="DH262" s="357"/>
      <c r="DI262" s="11"/>
      <c r="DJ262" s="357"/>
      <c r="DK262" s="357"/>
      <c r="DL262" s="11"/>
      <c r="DM262" s="357"/>
      <c r="DN262" s="357"/>
      <c r="DO262" s="11"/>
      <c r="DP262" s="357"/>
      <c r="DQ262" s="357"/>
      <c r="DR262" s="11"/>
      <c r="DS262" s="357"/>
      <c r="DT262" s="357"/>
      <c r="DU262" s="11"/>
      <c r="DV262" s="357"/>
      <c r="DW262" s="357"/>
      <c r="DX262" s="11"/>
      <c r="DY262" s="357"/>
      <c r="DZ262" s="357"/>
      <c r="EA262" s="357"/>
      <c r="EB262" s="11"/>
      <c r="EC262" s="11"/>
      <c r="ED262" s="11"/>
      <c r="EE262" s="121"/>
      <c r="EF262" s="11"/>
      <c r="EG262" s="11"/>
      <c r="EH262" s="11"/>
      <c r="EI262" s="11"/>
      <c r="EJ262" s="11"/>
      <c r="EK262" s="11"/>
      <c r="EL262" s="11"/>
      <c r="EM262" s="228"/>
      <c r="EN262" s="11"/>
      <c r="EO262" s="11"/>
      <c r="EP262" s="11"/>
      <c r="EQ262" s="11"/>
      <c r="ER262" s="376"/>
      <c r="ES262" s="376"/>
      <c r="ET262" s="376"/>
      <c r="EU262" s="376"/>
      <c r="EV262" s="376"/>
      <c r="EW262" s="376"/>
      <c r="EY262" s="372"/>
      <c r="EZ262" s="543"/>
      <c r="FC262" s="11"/>
      <c r="FD262" s="11"/>
      <c r="FE262" s="11"/>
      <c r="FF262" s="11"/>
      <c r="FG262" s="11"/>
      <c r="FH262" s="11"/>
      <c r="FI262" s="11"/>
      <c r="FJ262" s="11"/>
      <c r="FK262" s="11"/>
      <c r="FL262" s="11"/>
      <c r="FM262" s="11"/>
      <c r="FN262" s="11"/>
      <c r="FO262" s="11"/>
      <c r="FP262" s="11"/>
      <c r="FQ262" s="11"/>
      <c r="FR262" s="11"/>
      <c r="FS262" s="11"/>
      <c r="FT262" s="11"/>
      <c r="FU262" s="11"/>
      <c r="FV262" s="11"/>
      <c r="FW262" s="11"/>
      <c r="FX262" s="391"/>
      <c r="FY262" s="391"/>
      <c r="FZ262" s="21"/>
      <c r="GA262" s="11"/>
      <c r="GB262" s="21"/>
      <c r="GC262" s="11"/>
      <c r="GD262" s="11"/>
      <c r="GE262" s="11"/>
      <c r="GF262" s="11"/>
      <c r="GG262" s="11"/>
      <c r="GH262" s="11"/>
      <c r="GI262" s="11"/>
      <c r="GJ262" s="11"/>
      <c r="GK262" s="411"/>
      <c r="GL262" s="11"/>
      <c r="GM262" s="11"/>
      <c r="GN262" s="11"/>
      <c r="GO262" s="11"/>
      <c r="GP262" s="11"/>
      <c r="GQ262" s="11"/>
      <c r="GR262" s="11"/>
      <c r="GS262" s="11"/>
      <c r="GT262" s="11"/>
      <c r="GU262" s="11"/>
      <c r="GV262" s="11"/>
      <c r="GW262" s="11"/>
      <c r="GX262" s="11"/>
      <c r="GY262" s="11"/>
      <c r="GZ262" s="11"/>
      <c r="HA262" s="11"/>
      <c r="HB262" s="11"/>
      <c r="HC262" s="11"/>
      <c r="HD262" s="21"/>
      <c r="HE262" s="11"/>
      <c r="HF262" s="11"/>
      <c r="HG262" s="11"/>
      <c r="HH262" s="11"/>
      <c r="HI262" s="11"/>
      <c r="HJ262" s="11"/>
      <c r="HK262" s="11"/>
      <c r="HL262" s="11"/>
      <c r="HM262" s="11"/>
      <c r="HN262" s="11"/>
      <c r="HO262" s="11"/>
      <c r="HP262" s="11"/>
      <c r="HQ262" s="40"/>
      <c r="HR262" s="40"/>
      <c r="HS262" s="40"/>
      <c r="HT262" s="40"/>
      <c r="HU262" s="40"/>
      <c r="HV262" s="11"/>
      <c r="HW262" s="11"/>
      <c r="HX262" s="40"/>
    </row>
    <row r="263" spans="1:232" s="25" customFormat="1">
      <c r="A263" s="785"/>
      <c r="B263" s="11"/>
      <c r="C263" s="11"/>
      <c r="D263" s="11"/>
      <c r="E263" s="11"/>
      <c r="F263" s="11"/>
      <c r="G263" s="11"/>
      <c r="H263" s="11"/>
      <c r="I263" s="11"/>
      <c r="J263" s="11"/>
      <c r="K263" s="210"/>
      <c r="L263" s="135"/>
      <c r="M263" s="135"/>
      <c r="N263" s="135"/>
      <c r="O263" s="11"/>
      <c r="P263" s="11"/>
      <c r="Q263" s="11"/>
      <c r="R263" s="11"/>
      <c r="S263" s="11"/>
      <c r="T263" s="11"/>
      <c r="U263" s="11"/>
      <c r="V263" s="11"/>
      <c r="W263" s="11"/>
      <c r="X263" s="11"/>
      <c r="Y263" s="11"/>
      <c r="Z263" s="11"/>
      <c r="AA263" s="11"/>
      <c r="AB263" s="11"/>
      <c r="AC263" s="11"/>
      <c r="AD263" s="11"/>
      <c r="AE263" s="11"/>
      <c r="AF263" s="11"/>
      <c r="AG263" s="11"/>
      <c r="AH263" s="11"/>
      <c r="AI263" s="11"/>
      <c r="AJ263" s="480"/>
      <c r="AK263" s="121"/>
      <c r="AL263" s="591"/>
      <c r="AM263" s="11"/>
      <c r="AN263" s="11"/>
      <c r="AO263" s="11"/>
      <c r="AP263" s="11"/>
      <c r="AQ263" s="11"/>
      <c r="AR263" s="11"/>
      <c r="AS263" s="11"/>
      <c r="AT263" s="11"/>
      <c r="AU263" s="11"/>
      <c r="AV263" s="11"/>
      <c r="AW263" s="96"/>
      <c r="AX263" s="20"/>
      <c r="AY263" s="11"/>
      <c r="AZ263" s="11"/>
      <c r="BA263" s="11"/>
      <c r="BB263" s="11"/>
      <c r="BC263" s="11"/>
      <c r="BD263" s="11"/>
      <c r="BE263" s="11"/>
      <c r="BF263" s="11"/>
      <c r="BG263" s="11"/>
      <c r="BH263" s="11"/>
      <c r="BI263" s="11"/>
      <c r="BJ263" s="121"/>
      <c r="BK263" s="121"/>
      <c r="BL263" s="121"/>
      <c r="BM263" s="121"/>
      <c r="BN263" s="121"/>
      <c r="BO263" s="121"/>
      <c r="BP263" s="121"/>
      <c r="BQ263" s="121"/>
      <c r="BR263" s="645"/>
      <c r="BS263" s="121"/>
      <c r="BT263" s="121"/>
      <c r="BU263" s="121"/>
      <c r="BV263" s="121"/>
      <c r="BW263" s="121"/>
      <c r="BX263" s="121"/>
      <c r="BY263" s="121"/>
      <c r="BZ263" s="121"/>
      <c r="CA263" s="121"/>
      <c r="CB263" s="11"/>
      <c r="CC263" s="357"/>
      <c r="CD263" s="357"/>
      <c r="CE263" s="21"/>
      <c r="CF263" s="11"/>
      <c r="CG263" s="357"/>
      <c r="CH263" s="11"/>
      <c r="CI263" s="357"/>
      <c r="CJ263" s="11"/>
      <c r="CK263" s="11"/>
      <c r="CL263" s="11"/>
      <c r="CM263" s="11"/>
      <c r="CN263" s="11"/>
      <c r="CO263" s="357"/>
      <c r="CP263" s="357"/>
      <c r="CQ263" s="11"/>
      <c r="CR263" s="11"/>
      <c r="CS263" s="357"/>
      <c r="CT263" s="357"/>
      <c r="CU263" s="357"/>
      <c r="CV263" s="11"/>
      <c r="CW263" s="357"/>
      <c r="CX263" s="11"/>
      <c r="CY263" s="11"/>
      <c r="CZ263" s="11"/>
      <c r="DA263" s="11"/>
      <c r="DB263" s="157"/>
      <c r="DC263" s="11"/>
      <c r="DD263" s="357"/>
      <c r="DE263" s="357"/>
      <c r="DF263" s="21"/>
      <c r="DG263" s="357"/>
      <c r="DH263" s="357"/>
      <c r="DI263" s="11"/>
      <c r="DJ263" s="357"/>
      <c r="DK263" s="357"/>
      <c r="DL263" s="11"/>
      <c r="DM263" s="357"/>
      <c r="DN263" s="357"/>
      <c r="DO263" s="11"/>
      <c r="DP263" s="357"/>
      <c r="DQ263" s="357"/>
      <c r="DR263" s="11"/>
      <c r="DS263" s="357"/>
      <c r="DT263" s="357"/>
      <c r="DU263" s="11"/>
      <c r="DV263" s="357"/>
      <c r="DW263" s="357"/>
      <c r="DX263" s="11"/>
      <c r="DY263" s="357"/>
      <c r="DZ263" s="357"/>
      <c r="EA263" s="357"/>
      <c r="EB263" s="11"/>
      <c r="EC263" s="11"/>
      <c r="ED263" s="11"/>
      <c r="EE263" s="121"/>
      <c r="EF263" s="11"/>
      <c r="EG263" s="11"/>
      <c r="EH263" s="11"/>
      <c r="EI263" s="11"/>
      <c r="EJ263" s="11"/>
      <c r="EK263" s="11"/>
      <c r="EL263" s="11"/>
      <c r="EM263" s="228"/>
      <c r="EN263" s="11"/>
      <c r="EO263" s="11"/>
      <c r="EP263" s="11"/>
      <c r="EQ263" s="11"/>
      <c r="ER263" s="376"/>
      <c r="ES263" s="376"/>
      <c r="ET263" s="376"/>
      <c r="EU263" s="376"/>
      <c r="EV263" s="376"/>
      <c r="EW263" s="376"/>
      <c r="EY263" s="372"/>
      <c r="EZ263" s="543"/>
      <c r="FC263" s="11"/>
      <c r="FD263" s="11"/>
      <c r="FE263" s="11"/>
      <c r="FF263" s="11"/>
      <c r="FG263" s="11"/>
      <c r="FH263" s="11"/>
      <c r="FI263" s="11"/>
      <c r="FJ263" s="11"/>
      <c r="FK263" s="11"/>
      <c r="FL263" s="11"/>
      <c r="FM263" s="11"/>
      <c r="FN263" s="11"/>
      <c r="FO263" s="11"/>
      <c r="FP263" s="11"/>
      <c r="FQ263" s="11"/>
      <c r="FR263" s="11"/>
      <c r="FS263" s="11"/>
      <c r="FT263" s="11"/>
      <c r="FU263" s="11"/>
      <c r="FV263" s="11"/>
      <c r="FW263" s="11"/>
      <c r="FX263" s="391"/>
      <c r="FY263" s="391"/>
      <c r="FZ263" s="21"/>
      <c r="GA263" s="11"/>
      <c r="GB263" s="21"/>
      <c r="GC263" s="11"/>
      <c r="GD263" s="11"/>
      <c r="GE263" s="11"/>
      <c r="GF263" s="11"/>
      <c r="GG263" s="11"/>
      <c r="GH263" s="11"/>
      <c r="GI263" s="11"/>
      <c r="GJ263" s="11"/>
      <c r="GK263" s="411"/>
      <c r="GL263" s="11"/>
      <c r="GM263" s="11"/>
      <c r="GN263" s="11"/>
      <c r="GO263" s="11"/>
      <c r="GP263" s="11"/>
      <c r="GQ263" s="11"/>
      <c r="GR263" s="11"/>
      <c r="GS263" s="11"/>
      <c r="GT263" s="11"/>
      <c r="GU263" s="11"/>
      <c r="GV263" s="11"/>
      <c r="GW263" s="11"/>
      <c r="GX263" s="11"/>
      <c r="GY263" s="11"/>
      <c r="GZ263" s="11"/>
      <c r="HA263" s="11"/>
      <c r="HB263" s="11"/>
      <c r="HC263" s="11"/>
      <c r="HD263" s="21"/>
      <c r="HE263" s="11"/>
      <c r="HF263" s="11"/>
      <c r="HG263" s="11"/>
      <c r="HH263" s="11"/>
      <c r="HI263" s="11"/>
      <c r="HJ263" s="11"/>
      <c r="HK263" s="11"/>
      <c r="HL263" s="11"/>
      <c r="HM263" s="11"/>
      <c r="HN263" s="11"/>
      <c r="HO263" s="11"/>
      <c r="HP263" s="11"/>
      <c r="HQ263" s="40"/>
      <c r="HR263" s="40"/>
      <c r="HS263" s="40"/>
      <c r="HT263" s="40"/>
      <c r="HU263" s="40"/>
      <c r="HV263" s="11"/>
      <c r="HW263" s="11"/>
      <c r="HX263" s="40"/>
    </row>
    <row r="264" spans="1:232" s="25" customFormat="1">
      <c r="A264" s="785"/>
      <c r="B264" s="11"/>
      <c r="C264" s="11"/>
      <c r="D264" s="11"/>
      <c r="E264" s="11"/>
      <c r="F264" s="11"/>
      <c r="G264" s="11"/>
      <c r="H264" s="11"/>
      <c r="I264" s="11"/>
      <c r="J264" s="11"/>
      <c r="K264" s="210"/>
      <c r="L264" s="135"/>
      <c r="M264" s="135"/>
      <c r="N264" s="135"/>
      <c r="O264" s="11"/>
      <c r="P264" s="11"/>
      <c r="Q264" s="11"/>
      <c r="R264" s="11"/>
      <c r="S264" s="11"/>
      <c r="T264" s="11"/>
      <c r="U264" s="11"/>
      <c r="V264" s="11"/>
      <c r="W264" s="11"/>
      <c r="X264" s="11"/>
      <c r="Y264" s="11"/>
      <c r="Z264" s="11"/>
      <c r="AA264" s="11"/>
      <c r="AB264" s="11"/>
      <c r="AC264" s="11"/>
      <c r="AD264" s="11"/>
      <c r="AE264" s="11"/>
      <c r="AF264" s="11"/>
      <c r="AG264" s="11"/>
      <c r="AH264" s="11"/>
      <c r="AI264" s="11"/>
      <c r="AJ264" s="480"/>
      <c r="AK264" s="121"/>
      <c r="AL264" s="591"/>
      <c r="AM264" s="11"/>
      <c r="AN264" s="11"/>
      <c r="AO264" s="11"/>
      <c r="AP264" s="11"/>
      <c r="AQ264" s="11"/>
      <c r="AR264" s="11"/>
      <c r="AS264" s="11"/>
      <c r="AT264" s="11"/>
      <c r="AU264" s="11"/>
      <c r="AV264" s="11"/>
      <c r="AW264" s="96"/>
      <c r="AX264" s="20"/>
      <c r="AY264" s="11"/>
      <c r="AZ264" s="11"/>
      <c r="BA264" s="11"/>
      <c r="BB264" s="11"/>
      <c r="BC264" s="11"/>
      <c r="BD264" s="11"/>
      <c r="BE264" s="11"/>
      <c r="BF264" s="11"/>
      <c r="BG264" s="11"/>
      <c r="BH264" s="11"/>
      <c r="BI264" s="11"/>
      <c r="BJ264" s="121"/>
      <c r="BK264" s="121"/>
      <c r="BL264" s="121"/>
      <c r="BM264" s="121"/>
      <c r="BN264" s="121"/>
      <c r="BO264" s="121"/>
      <c r="BP264" s="121"/>
      <c r="BQ264" s="121"/>
      <c r="BR264" s="645"/>
      <c r="BS264" s="121"/>
      <c r="BT264" s="121"/>
      <c r="BU264" s="121"/>
      <c r="BV264" s="121"/>
      <c r="BW264" s="121"/>
      <c r="BX264" s="121"/>
      <c r="BY264" s="121"/>
      <c r="BZ264" s="121"/>
      <c r="CA264" s="121"/>
      <c r="CB264" s="11"/>
      <c r="CC264" s="357"/>
      <c r="CD264" s="357"/>
      <c r="CE264" s="21"/>
      <c r="CF264" s="11"/>
      <c r="CG264" s="357"/>
      <c r="CH264" s="11"/>
      <c r="CI264" s="357"/>
      <c r="CJ264" s="11"/>
      <c r="CK264" s="11"/>
      <c r="CL264" s="11"/>
      <c r="CM264" s="11"/>
      <c r="CN264" s="11"/>
      <c r="CO264" s="357"/>
      <c r="CP264" s="357"/>
      <c r="CQ264" s="11"/>
      <c r="CR264" s="11"/>
      <c r="CS264" s="357"/>
      <c r="CT264" s="357"/>
      <c r="CU264" s="357"/>
      <c r="CV264" s="11"/>
      <c r="CW264" s="357"/>
      <c r="CX264" s="11"/>
      <c r="CY264" s="11"/>
      <c r="CZ264" s="11"/>
      <c r="DA264" s="11"/>
      <c r="DB264" s="157"/>
      <c r="DC264" s="11"/>
      <c r="DD264" s="357"/>
      <c r="DE264" s="357"/>
      <c r="DF264" s="21"/>
      <c r="DG264" s="357"/>
      <c r="DH264" s="357"/>
      <c r="DI264" s="11"/>
      <c r="DJ264" s="357"/>
      <c r="DK264" s="357"/>
      <c r="DL264" s="11"/>
      <c r="DM264" s="357"/>
      <c r="DN264" s="357"/>
      <c r="DO264" s="11"/>
      <c r="DP264" s="357"/>
      <c r="DQ264" s="357"/>
      <c r="DR264" s="11"/>
      <c r="DS264" s="357"/>
      <c r="DT264" s="357"/>
      <c r="DU264" s="11"/>
      <c r="DV264" s="357"/>
      <c r="DW264" s="357"/>
      <c r="DX264" s="11"/>
      <c r="DY264" s="357"/>
      <c r="DZ264" s="357"/>
      <c r="EA264" s="357"/>
      <c r="EB264" s="11"/>
      <c r="EC264" s="11"/>
      <c r="ED264" s="11"/>
      <c r="EE264" s="121"/>
      <c r="EF264" s="11"/>
      <c r="EG264" s="11"/>
      <c r="EH264" s="11"/>
      <c r="EI264" s="11"/>
      <c r="EJ264" s="11"/>
      <c r="EK264" s="11"/>
      <c r="EL264" s="11"/>
      <c r="EM264" s="228"/>
      <c r="EN264" s="11"/>
      <c r="EO264" s="11"/>
      <c r="EP264" s="11"/>
      <c r="EQ264" s="11"/>
      <c r="ER264" s="376"/>
      <c r="ES264" s="376"/>
      <c r="ET264" s="376"/>
      <c r="EU264" s="376"/>
      <c r="EV264" s="376"/>
      <c r="EW264" s="376"/>
      <c r="EY264" s="372"/>
      <c r="EZ264" s="543"/>
      <c r="FC264" s="11"/>
      <c r="FD264" s="11"/>
      <c r="FE264" s="11"/>
      <c r="FF264" s="11"/>
      <c r="FG264" s="11"/>
      <c r="FH264" s="11"/>
      <c r="FI264" s="11"/>
      <c r="FJ264" s="11"/>
      <c r="FK264" s="11"/>
      <c r="FL264" s="11"/>
      <c r="FM264" s="11"/>
      <c r="FN264" s="11"/>
      <c r="FO264" s="11"/>
      <c r="FP264" s="11"/>
      <c r="FQ264" s="11"/>
      <c r="FR264" s="11"/>
      <c r="FS264" s="11"/>
      <c r="FT264" s="11"/>
      <c r="FU264" s="11"/>
      <c r="FV264" s="11"/>
      <c r="FW264" s="11"/>
      <c r="FX264" s="391"/>
      <c r="FY264" s="391"/>
      <c r="FZ264" s="21"/>
      <c r="GA264" s="11"/>
      <c r="GB264" s="21"/>
      <c r="GC264" s="11"/>
      <c r="GD264" s="11"/>
      <c r="GE264" s="11"/>
      <c r="GF264" s="11"/>
      <c r="GG264" s="11"/>
      <c r="GH264" s="11"/>
      <c r="GI264" s="11"/>
      <c r="GJ264" s="11"/>
      <c r="GK264" s="411"/>
      <c r="GL264" s="11"/>
      <c r="GM264" s="11"/>
      <c r="GN264" s="11"/>
      <c r="GO264" s="11"/>
      <c r="GP264" s="11"/>
      <c r="GQ264" s="11"/>
      <c r="GR264" s="11"/>
      <c r="GS264" s="11"/>
      <c r="GT264" s="11"/>
      <c r="GU264" s="11"/>
      <c r="GV264" s="11"/>
      <c r="GW264" s="11"/>
      <c r="GX264" s="11"/>
      <c r="GY264" s="11"/>
      <c r="GZ264" s="11"/>
      <c r="HA264" s="11"/>
      <c r="HB264" s="11"/>
      <c r="HC264" s="11"/>
      <c r="HD264" s="21"/>
      <c r="HE264" s="11"/>
      <c r="HF264" s="11"/>
      <c r="HG264" s="11"/>
      <c r="HH264" s="11"/>
      <c r="HI264" s="11"/>
      <c r="HJ264" s="11"/>
      <c r="HK264" s="11"/>
      <c r="HL264" s="11"/>
      <c r="HM264" s="11"/>
      <c r="HN264" s="11"/>
      <c r="HO264" s="11"/>
      <c r="HP264" s="11"/>
      <c r="HQ264" s="40"/>
      <c r="HR264" s="40"/>
      <c r="HS264" s="40"/>
      <c r="HT264" s="40"/>
      <c r="HU264" s="40"/>
      <c r="HV264" s="11"/>
      <c r="HW264" s="11"/>
      <c r="HX264" s="40"/>
    </row>
  </sheetData>
  <autoFilter ref="A1:HX169" xr:uid="{00000000-0009-0000-0000-000002000000}">
    <filterColumn colId="142">
      <filters blank="1"/>
    </filterColumn>
    <sortState xmlns:xlrd2="http://schemas.microsoft.com/office/spreadsheetml/2017/richdata2" ref="A31:HX169">
      <sortCondition ref="EL1:EL169"/>
    </sortState>
  </autoFilter>
  <sortState xmlns:xlrd2="http://schemas.microsoft.com/office/spreadsheetml/2017/richdata2" ref="A39:A44">
    <sortCondition ref="A39"/>
  </sortState>
  <dataConsolidate/>
  <mergeCells count="7">
    <mergeCell ref="C198:O198"/>
    <mergeCell ref="C199:D199"/>
    <mergeCell ref="M199:N199"/>
    <mergeCell ref="K199:L199"/>
    <mergeCell ref="I199:J199"/>
    <mergeCell ref="G199:H199"/>
    <mergeCell ref="E199:F199"/>
  </mergeCells>
  <conditionalFormatting sqref="DJ60">
    <cfRule type="expression" dxfId="76" priority="645">
      <formula>$AI60&gt;TODAY()</formula>
    </cfRule>
  </conditionalFormatting>
  <conditionalFormatting sqref="DG60">
    <cfRule type="expression" dxfId="75" priority="627">
      <formula>$AF60&gt;TODAY()</formula>
    </cfRule>
  </conditionalFormatting>
  <conditionalFormatting sqref="CP142:CP153 CP2:CP140">
    <cfRule type="expression" dxfId="74" priority="939">
      <formula>$CP2&gt;=TODAY()</formula>
    </cfRule>
  </conditionalFormatting>
  <conditionalFormatting sqref="CO2:CO88 CO90:CO153">
    <cfRule type="expression" dxfId="73" priority="940">
      <formula>$CO2&gt;=TODAY()</formula>
    </cfRule>
  </conditionalFormatting>
  <conditionalFormatting sqref="CL9 CL32 CM142:CM153 CM2:CM140">
    <cfRule type="expression" dxfId="72" priority="941">
      <formula>$CM2&gt;=TODAY()</formula>
    </cfRule>
  </conditionalFormatting>
  <conditionalFormatting sqref="CL2:CL8 CL10:CL31 CL142:CL146 CL148:CL153 CO93 CL33:CL88 CL90:CL140">
    <cfRule type="expression" dxfId="71" priority="944">
      <formula>$CL2&gt;=TODAY()</formula>
    </cfRule>
  </conditionalFormatting>
  <conditionalFormatting sqref="CJ142:CJ153 CJ2:CJ72 CJ74:CJ140">
    <cfRule type="expression" dxfId="70" priority="947">
      <formula>$CJ2&gt;=TODAY()</formula>
    </cfRule>
  </conditionalFormatting>
  <conditionalFormatting sqref="CI142:CI146 CI148:CI153 CL89 CO89 CI2:CI140">
    <cfRule type="expression" dxfId="69" priority="948">
      <formula>$CI2&gt;=TODAY()</formula>
    </cfRule>
  </conditionalFormatting>
  <conditionalFormatting sqref="CG142:CG146 CG148:CG153 CG2:CG140">
    <cfRule type="expression" dxfId="68" priority="949">
      <formula>$CG2&gt;=TODAY()</formula>
    </cfRule>
  </conditionalFormatting>
  <conditionalFormatting sqref="CF142:CF146 CF148:CF153 CF2:CF140">
    <cfRule type="expression" dxfId="67" priority="950">
      <formula>$CF2&gt;=TODAY()</formula>
    </cfRule>
  </conditionalFormatting>
  <conditionalFormatting sqref="CD142:CD146 CD148:CD153 CD2:CD90 CD98:CD140">
    <cfRule type="expression" dxfId="66" priority="951">
      <formula>$CD2&gt;=TODAY()</formula>
    </cfRule>
  </conditionalFormatting>
  <conditionalFormatting sqref="CC142:CC146 CC148:CC153 CC2:CC140">
    <cfRule type="expression" dxfId="65" priority="952">
      <formula>$CC2&gt;=TODAY()</formula>
    </cfRule>
  </conditionalFormatting>
  <conditionalFormatting sqref="CW142:CW146 CW148:CW153 CX64 CW2:CW140">
    <cfRule type="expression" dxfId="64" priority="1064">
      <formula>$CW2&gt;=TODAY()</formula>
    </cfRule>
  </conditionalFormatting>
  <conditionalFormatting sqref="CU2:CU32 CU142:CU146 CU148:CU153 CU34:CU140">
    <cfRule type="expression" dxfId="63" priority="1067">
      <formula>$CU2&gt;=TODAY()</formula>
    </cfRule>
  </conditionalFormatting>
  <conditionalFormatting sqref="CU33 CT142:CT146 CT148:CT153 CT2:CT140">
    <cfRule type="expression" dxfId="62" priority="1070">
      <formula>$CT2&gt;=TODAY()</formula>
    </cfRule>
  </conditionalFormatting>
  <conditionalFormatting sqref="DH2:DH22 DH144 DH147:DH149 DH153 DH151 DK142:DK153 DK2:DK140">
    <cfRule type="expression" dxfId="61" priority="1151">
      <formula>$DK2&gt;=TODAY()</formula>
    </cfRule>
  </conditionalFormatting>
  <conditionalFormatting sqref="EA142:EA146 EA148:EA153 EA2:EA140">
    <cfRule type="expression" dxfId="60" priority="1155">
      <formula>$EA2&gt;=TODAY()</formula>
    </cfRule>
  </conditionalFormatting>
  <conditionalFormatting sqref="DZ142:DZ146 DZ148:DZ153 DZ2:DZ140">
    <cfRule type="expression" dxfId="59" priority="1156">
      <formula>$DZ2&gt;=TODAY()</formula>
    </cfRule>
  </conditionalFormatting>
  <conditionalFormatting sqref="DY142:DY146 DY148:DY153 DY2:DY140">
    <cfRule type="expression" dxfId="58" priority="1157">
      <formula>$DY2&gt;=TODAY()</formula>
    </cfRule>
  </conditionalFormatting>
  <conditionalFormatting sqref="DW142:DW153 DW2:DW140">
    <cfRule type="expression" dxfId="57" priority="1158">
      <formula>$DW2&gt;=TODAY()</formula>
    </cfRule>
  </conditionalFormatting>
  <conditionalFormatting sqref="DV142:DV153 DV2:DV140">
    <cfRule type="expression" dxfId="56" priority="1159">
      <formula>$DV2&gt;=TODAY()</formula>
    </cfRule>
  </conditionalFormatting>
  <conditionalFormatting sqref="DT142:DT153 DQ61:DQ62 DQ65:DQ66 DT2:DT140">
    <cfRule type="expression" dxfId="55" priority="1160">
      <formula>$DT2&gt;=TODAY()</formula>
    </cfRule>
  </conditionalFormatting>
  <conditionalFormatting sqref="DS142:DS153 DS2:DS140">
    <cfRule type="expression" dxfId="54" priority="1161">
      <formula>$DS2&gt;=TODAY()</formula>
    </cfRule>
  </conditionalFormatting>
  <conditionalFormatting sqref="DQ142:DQ153 DQ2:DQ60 DQ67:DQ140">
    <cfRule type="expression" dxfId="53" priority="1162">
      <formula>$DQ2&gt;=TODAY()</formula>
    </cfRule>
  </conditionalFormatting>
  <conditionalFormatting sqref="DP142:DP153 DP2:DP140">
    <cfRule type="expression" dxfId="52" priority="1163">
      <formula>$DP2&gt;=TODAY()</formula>
    </cfRule>
  </conditionalFormatting>
  <conditionalFormatting sqref="DN142:DN153 DQ63:DQ64 DN2:DN140">
    <cfRule type="expression" dxfId="51" priority="1164">
      <formula>$DN2&gt;=TODAY()</formula>
    </cfRule>
  </conditionalFormatting>
  <conditionalFormatting sqref="DM142:DM153 DM2:DM140">
    <cfRule type="expression" dxfId="50" priority="1165">
      <formula>$DM2&gt;=TODAY()</formula>
    </cfRule>
  </conditionalFormatting>
  <conditionalFormatting sqref="DJ143:DJ146 DJ148:DJ153 DJ2:DJ47 DJ56:DJ140">
    <cfRule type="expression" dxfId="49" priority="1168">
      <formula>$DJ2&gt;=TODAY()</formula>
    </cfRule>
  </conditionalFormatting>
  <conditionalFormatting sqref="DG142:DG153 DJ48:DJ55 DG2:DG140">
    <cfRule type="expression" dxfId="48" priority="1170">
      <formula>$DG2&gt;=TODAY()</formula>
    </cfRule>
  </conditionalFormatting>
  <conditionalFormatting sqref="DE2:DE140 DE142:DE153">
    <cfRule type="expression" dxfId="47" priority="1172">
      <formula>$DE2&gt;=TODAY()</formula>
    </cfRule>
  </conditionalFormatting>
  <conditionalFormatting sqref="DD142:DD146 DD148:DD153 DD2:DD140">
    <cfRule type="expression" dxfId="46" priority="1176">
      <formula>$DD2&gt;=TODAY()</formula>
    </cfRule>
  </conditionalFormatting>
  <conditionalFormatting sqref="DJ142">
    <cfRule type="expression" dxfId="45" priority="400">
      <formula>$DK142&gt;=TODAY()</formula>
    </cfRule>
  </conditionalFormatting>
  <conditionalFormatting sqref="DF141">
    <cfRule type="expression" dxfId="44" priority="277">
      <formula>$DG141&gt;=TODAY()</formula>
    </cfRule>
  </conditionalFormatting>
  <conditionalFormatting sqref="DD141">
    <cfRule type="expression" dxfId="43" priority="278">
      <formula>$DE141&gt;=TODAY()</formula>
    </cfRule>
  </conditionalFormatting>
  <conditionalFormatting sqref="DC141">
    <cfRule type="expression" dxfId="42" priority="279">
      <formula>$DD141&gt;=TODAY()</formula>
    </cfRule>
  </conditionalFormatting>
  <conditionalFormatting sqref="CO141">
    <cfRule type="expression" dxfId="41" priority="252">
      <formula>$CP141&gt;=TODAY()</formula>
    </cfRule>
  </conditionalFormatting>
  <conditionalFormatting sqref="CN141">
    <cfRule type="expression" dxfId="40" priority="253">
      <formula>$CO141&gt;=TODAY()</formula>
    </cfRule>
  </conditionalFormatting>
  <conditionalFormatting sqref="CL141">
    <cfRule type="expression" dxfId="39" priority="254">
      <formula>$CM141&gt;=TODAY()</formula>
    </cfRule>
  </conditionalFormatting>
  <conditionalFormatting sqref="CK141">
    <cfRule type="expression" dxfId="38" priority="255">
      <formula>$CL141&gt;=TODAY()</formula>
    </cfRule>
  </conditionalFormatting>
  <conditionalFormatting sqref="CI141">
    <cfRule type="expression" dxfId="37" priority="256">
      <formula>$CJ141&gt;=TODAY()</formula>
    </cfRule>
  </conditionalFormatting>
  <conditionalFormatting sqref="CH141">
    <cfRule type="expression" dxfId="36" priority="257">
      <formula>$CI141&gt;=TODAY()</formula>
    </cfRule>
  </conditionalFormatting>
  <conditionalFormatting sqref="CF141">
    <cfRule type="expression" dxfId="35" priority="258">
      <formula>$CG141&gt;=TODAY()</formula>
    </cfRule>
  </conditionalFormatting>
  <conditionalFormatting sqref="CE141">
    <cfRule type="expression" dxfId="34" priority="259">
      <formula>$CF141&gt;=TODAY()</formula>
    </cfRule>
  </conditionalFormatting>
  <conditionalFormatting sqref="CC141">
    <cfRule type="expression" dxfId="33" priority="260">
      <formula>$CD141&gt;=TODAY()</formula>
    </cfRule>
  </conditionalFormatting>
  <conditionalFormatting sqref="CB141">
    <cfRule type="expression" dxfId="32" priority="261">
      <formula>$CC141&gt;=TODAY()</formula>
    </cfRule>
  </conditionalFormatting>
  <conditionalFormatting sqref="CV141">
    <cfRule type="expression" dxfId="31" priority="262">
      <formula>$CW141&gt;=TODAY()</formula>
    </cfRule>
  </conditionalFormatting>
  <conditionalFormatting sqref="CT141">
    <cfRule type="expression" dxfId="30" priority="263">
      <formula>$CU141&gt;=TODAY()</formula>
    </cfRule>
  </conditionalFormatting>
  <conditionalFormatting sqref="CS141">
    <cfRule type="expression" dxfId="29" priority="264">
      <formula>$CT141&gt;=TODAY()</formula>
    </cfRule>
  </conditionalFormatting>
  <conditionalFormatting sqref="DJ141">
    <cfRule type="expression" dxfId="28" priority="265">
      <formula>$DK141&gt;=TODAY()</formula>
    </cfRule>
  </conditionalFormatting>
  <conditionalFormatting sqref="DZ141">
    <cfRule type="expression" dxfId="27" priority="266">
      <formula>$EA141&gt;=TODAY()</formula>
    </cfRule>
  </conditionalFormatting>
  <conditionalFormatting sqref="DY141">
    <cfRule type="expression" dxfId="26" priority="267">
      <formula>$DZ141&gt;=TODAY()</formula>
    </cfRule>
  </conditionalFormatting>
  <conditionalFormatting sqref="DX141">
    <cfRule type="expression" dxfId="25" priority="268">
      <formula>$DY141&gt;=TODAY()</formula>
    </cfRule>
  </conditionalFormatting>
  <conditionalFormatting sqref="DU141">
    <cfRule type="expression" dxfId="24" priority="269">
      <formula>$DV141&gt;=TODAY()</formula>
    </cfRule>
  </conditionalFormatting>
  <conditionalFormatting sqref="DS141">
    <cfRule type="expression" dxfId="23" priority="270">
      <formula>$DT141&gt;=TODAY()</formula>
    </cfRule>
  </conditionalFormatting>
  <conditionalFormatting sqref="DR141">
    <cfRule type="expression" dxfId="22" priority="271">
      <formula>$DS141&gt;=TODAY()</formula>
    </cfRule>
  </conditionalFormatting>
  <conditionalFormatting sqref="DP141">
    <cfRule type="expression" dxfId="21" priority="272">
      <formula>$DQ141&gt;=TODAY()</formula>
    </cfRule>
  </conditionalFormatting>
  <conditionalFormatting sqref="DO141">
    <cfRule type="expression" dxfId="20" priority="273">
      <formula>$DP141&gt;=TODAY()</formula>
    </cfRule>
  </conditionalFormatting>
  <conditionalFormatting sqref="DM141">
    <cfRule type="expression" dxfId="19" priority="274">
      <formula>$DN141&gt;=TODAY()</formula>
    </cfRule>
  </conditionalFormatting>
  <conditionalFormatting sqref="DL141">
    <cfRule type="expression" dxfId="18" priority="275">
      <formula>$DM141&gt;=TODAY()</formula>
    </cfRule>
  </conditionalFormatting>
  <conditionalFormatting sqref="DI141">
    <cfRule type="expression" dxfId="17" priority="276">
      <formula>$DJ141&gt;=TODAY()</formula>
    </cfRule>
  </conditionalFormatting>
  <conditionalFormatting sqref="DV141">
    <cfRule type="expression" dxfId="16" priority="251">
      <formula>$DW141&gt;=TODAY()</formula>
    </cfRule>
  </conditionalFormatting>
  <conditionalFormatting sqref="CD91:CD97">
    <cfRule type="expression" dxfId="15" priority="3">
      <formula>$CD91&gt;=TODAY()</formula>
    </cfRule>
  </conditionalFormatting>
  <conditionalFormatting sqref="CJ73">
    <cfRule type="expression" dxfId="14" priority="1">
      <formula>$CM73&gt;=TODAY()</formula>
    </cfRule>
  </conditionalFormatting>
  <dataValidations count="12">
    <dataValidation type="list" allowBlank="1" showInputMessage="1" showErrorMessage="1" sqref="BK154:BN154 BC2 AX147 BC153 BC151 BC148:BC149 BA2:BA93 BB136:BB140 BC128:BC140 BB141:BC146 BB148:BB153 BA95:BA153" xr:uid="{00000000-0002-0000-0200-000000000000}">
      <formula1>"oui,non"</formula1>
    </dataValidation>
    <dataValidation type="list" allowBlank="1" showInputMessage="1" showErrorMessage="1" sqref="O154:U154 W154:AB154 B154:C154" xr:uid="{00000000-0002-0000-0200-000001000000}">
      <formula1>"Avirons,Entre-Deux,Etang-Salé,Petite-Ile,St Joseph,St Leu,St Louis,St Paul,St Philippe,St Pierre,Tampon,Trois Bassins"</formula1>
    </dataValidation>
    <dataValidation type="list" allowBlank="1" showInputMessage="1" showErrorMessage="1" sqref="BF154:BJ154 ET154:EW154 CX154:CZ154 DB154:DC154 EB154:EQ154 FC154:FW154" xr:uid="{00000000-0002-0000-0200-000002000000}">
      <formula1>"FHO,FMA,JDC,JFO,LIM,SFE,YFR"</formula1>
    </dataValidation>
    <dataValidation type="list" allowBlank="1" showInputMessage="1" showErrorMessage="1" sqref="BF147:BG147" xr:uid="{00000000-0002-0000-0200-000003000000}">
      <formula1>"INGEPAR,OFOI"</formula1>
    </dataValidation>
    <dataValidation type="list" allowBlank="1" showInputMessage="1" showErrorMessage="1" sqref="AW147 AZ2:AZ93 BA94 AZ95:AZ153" xr:uid="{00000000-0002-0000-0200-000004000000}">
      <formula1>"MDV,collectif"</formula1>
    </dataValidation>
    <dataValidation type="list" allowBlank="1" showInputMessage="1" showErrorMessage="1" sqref="BO147:BP147 BR147:BT147" xr:uid="{00000000-0002-0000-0200-000005000000}">
      <formula1>"Oui,Non"</formula1>
    </dataValidation>
    <dataValidation type="list" allowBlank="1" showInputMessage="1" showErrorMessage="1" sqref="AC110:AC153 AC2:AC105" xr:uid="{00000000-0002-0000-0200-000006000000}">
      <formula1>"LLS,LLTS,PLS,Rehab"</formula1>
    </dataValidation>
    <dataValidation type="list" allowBlank="1" showInputMessage="1" showErrorMessage="1" sqref="B2:B153" xr:uid="{00000000-0002-0000-0200-000007000000}">
      <formula1>Communes</formula1>
    </dataValidation>
    <dataValidation type="list" allowBlank="1" showInputMessage="1" showErrorMessage="1" sqref="C2:C153" xr:uid="{00000000-0002-0000-0200-000008000000}">
      <formula1>"CA SUD,CIVIS,TCO"</formula1>
    </dataValidation>
    <dataValidation type="list" allowBlank="1" showInputMessage="1" showErrorMessage="1" sqref="F2:F153" xr:uid="{00000000-0002-0000-0200-000009000000}">
      <formula1>Liste_RO</formula1>
    </dataValidation>
    <dataValidation type="list" allowBlank="1" showInputMessage="1" showErrorMessage="1" sqref="G2:G153" xr:uid="{00000000-0002-0000-0200-00000A000000}">
      <formula1>Liste_Ass</formula1>
    </dataValidation>
    <dataValidation type="list" allowBlank="1" showInputMessage="1" showErrorMessage="1" sqref="H2:H153" xr:uid="{00000000-0002-0000-0200-00000B000000}">
      <formula1>Phases</formula1>
    </dataValidation>
  </dataValidations>
  <pageMargins left="0.28000000000000003" right="0.26" top="0.75" bottom="0.75" header="0.3" footer="0.3"/>
  <pageSetup paperSize="8" scale="12" orientation="landscape" r:id="rId1"/>
  <headerFooter>
    <oddFooter>Préparé par NBL &amp;D&amp;RPage &amp;P</oddFooter>
  </headerFooter>
  <rowBreaks count="1" manualBreakCount="1">
    <brk id="153" max="233" man="1"/>
  </rowBreaks>
  <colBreaks count="4" manualBreakCount="4">
    <brk id="30" max="264" man="1"/>
    <brk id="166" max="265" man="1"/>
    <brk id="179" max="265" man="1"/>
    <brk id="200" max="1048575" man="1"/>
  </colBreaks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sheetPr codeName="Feuil13">
    <tabColor rgb="FFFF0000"/>
  </sheetPr>
  <dimension ref="A3:F20"/>
  <sheetViews>
    <sheetView tabSelected="1" topLeftCell="A2" zoomScale="55" zoomScaleNormal="55" workbookViewId="0">
      <selection activeCell="B7" sqref="B7"/>
    </sheetView>
  </sheetViews>
  <sheetFormatPr baseColWidth="10" defaultRowHeight="14.4"/>
  <cols>
    <col min="1" max="1" width="27.77734375" bestFit="1" customWidth="1"/>
    <col min="2" max="2" width="25.109375" bestFit="1" customWidth="1"/>
    <col min="3" max="3" width="27.33203125" bestFit="1" customWidth="1"/>
    <col min="4" max="4" width="15.44140625" bestFit="1" customWidth="1"/>
    <col min="5" max="5" width="11" customWidth="1"/>
    <col min="6" max="6" width="11.44140625" customWidth="1"/>
    <col min="7" max="7" width="8" customWidth="1"/>
    <col min="8" max="13" width="11" customWidth="1"/>
    <col min="14" max="17" width="8.33203125" customWidth="1"/>
    <col min="18" max="18" width="11" customWidth="1"/>
    <col min="19" max="19" width="8.33203125" customWidth="1"/>
    <col min="20" max="21" width="11" customWidth="1"/>
    <col min="22" max="22" width="8.33203125" customWidth="1"/>
    <col min="23" max="24" width="11" customWidth="1"/>
    <col min="25" max="25" width="12" customWidth="1"/>
    <col min="26" max="26" width="11" customWidth="1"/>
    <col min="27" max="27" width="8.33203125" customWidth="1"/>
    <col min="28" max="28" width="8" customWidth="1"/>
    <col min="29" max="30" width="8.33203125" customWidth="1"/>
    <col min="31" max="31" width="8" customWidth="1"/>
    <col min="32" max="32" width="11" customWidth="1"/>
    <col min="33" max="39" width="8.33203125" customWidth="1"/>
    <col min="40" max="40" width="11" customWidth="1"/>
    <col min="41" max="44" width="8.33203125" customWidth="1"/>
    <col min="45" max="45" width="11" customWidth="1"/>
    <col min="46" max="46" width="8.33203125" customWidth="1"/>
    <col min="47" max="49" width="11" customWidth="1"/>
    <col min="50" max="50" width="10" customWidth="1"/>
    <col min="51" max="51" width="8.33203125" customWidth="1"/>
    <col min="52" max="52" width="11" customWidth="1"/>
    <col min="53" max="53" width="10" customWidth="1"/>
    <col min="54" max="55" width="8.33203125" customWidth="1"/>
    <col min="56" max="56" width="10" customWidth="1"/>
    <col min="57" max="58" width="8.33203125" customWidth="1"/>
    <col min="59" max="59" width="12" customWidth="1"/>
    <col min="60" max="60" width="11" customWidth="1"/>
    <col min="61" max="61" width="8.33203125" customWidth="1"/>
    <col min="62" max="63" width="12" customWidth="1"/>
    <col min="64" max="64" width="8.33203125" customWidth="1"/>
    <col min="65" max="65" width="11" customWidth="1"/>
    <col min="66" max="69" width="12" customWidth="1"/>
    <col min="70" max="71" width="9" customWidth="1"/>
    <col min="72" max="72" width="6.33203125" customWidth="1"/>
    <col min="73" max="73" width="12.5546875" customWidth="1"/>
    <col min="74" max="74" width="9.88671875" customWidth="1"/>
    <col min="75" max="75" width="12.88671875" customWidth="1"/>
    <col min="76" max="76" width="9.88671875" customWidth="1"/>
    <col min="77" max="77" width="12.88671875" customWidth="1"/>
    <col min="78" max="78" width="9.88671875" customWidth="1"/>
    <col min="79" max="80" width="12.88671875" customWidth="1"/>
    <col min="81" max="81" width="15.44140625" customWidth="1"/>
    <col min="82" max="82" width="9.88671875" customWidth="1"/>
    <col min="83" max="83" width="12.88671875" customWidth="1"/>
    <col min="84" max="84" width="9.88671875" customWidth="1"/>
    <col min="85" max="85" width="12.88671875" customWidth="1"/>
    <col min="86" max="86" width="9.88671875" customWidth="1"/>
    <col min="87" max="87" width="12.88671875" customWidth="1"/>
    <col min="88" max="88" width="9.88671875" customWidth="1"/>
    <col min="89" max="90" width="12.88671875" bestFit="1" customWidth="1"/>
    <col min="91" max="91" width="15.44140625" bestFit="1" customWidth="1"/>
    <col min="92" max="92" width="9.88671875" customWidth="1"/>
    <col min="93" max="94" width="12.88671875" customWidth="1"/>
    <col min="95" max="95" width="15.44140625" bestFit="1" customWidth="1"/>
    <col min="96" max="96" width="12.88671875" customWidth="1"/>
    <col min="97" max="97" width="15.44140625" bestFit="1" customWidth="1"/>
    <col min="98" max="98" width="12.88671875" customWidth="1"/>
    <col min="99" max="99" width="15.44140625" bestFit="1" customWidth="1"/>
    <col min="100" max="100" width="11.88671875" customWidth="1"/>
    <col min="101" max="101" width="14.44140625" customWidth="1"/>
    <col min="102" max="102" width="9.88671875" customWidth="1"/>
    <col min="103" max="103" width="12.88671875" bestFit="1" customWidth="1"/>
    <col min="104" max="104" width="12.88671875" customWidth="1"/>
    <col min="105" max="105" width="15.44140625" customWidth="1"/>
    <col min="106" max="106" width="11.88671875" customWidth="1"/>
    <col min="107" max="107" width="14.44140625" customWidth="1"/>
    <col min="108" max="108" width="9.88671875" customWidth="1"/>
    <col min="109" max="109" width="12.88671875" bestFit="1" customWidth="1"/>
    <col min="110" max="110" width="9.88671875" customWidth="1"/>
    <col min="111" max="111" width="12.88671875" bestFit="1" customWidth="1"/>
    <col min="112" max="112" width="11.88671875" customWidth="1"/>
    <col min="113" max="113" width="14.44140625" bestFit="1" customWidth="1"/>
    <col min="114" max="114" width="9.88671875" customWidth="1"/>
    <col min="115" max="115" width="12.88671875" customWidth="1"/>
    <col min="116" max="116" width="9.88671875" customWidth="1"/>
    <col min="117" max="117" width="12.88671875" customWidth="1"/>
    <col min="118" max="118" width="13.88671875" customWidth="1"/>
    <col min="119" max="119" width="21.6640625" customWidth="1"/>
    <col min="120" max="120" width="12.88671875" customWidth="1"/>
    <col min="121" max="121" width="15.44140625" customWidth="1"/>
    <col min="122" max="122" width="9.88671875" customWidth="1"/>
    <col min="123" max="123" width="12.88671875" customWidth="1"/>
    <col min="124" max="124" width="13.88671875" customWidth="1"/>
    <col min="125" max="125" width="16.5546875" bestFit="1" customWidth="1"/>
    <col min="126" max="126" width="13.88671875" customWidth="1"/>
    <col min="127" max="127" width="21.6640625" bestFit="1" customWidth="1"/>
    <col min="128" max="128" width="9.88671875" customWidth="1"/>
    <col min="129" max="129" width="12.88671875" bestFit="1" customWidth="1"/>
    <col min="130" max="130" width="12.88671875" customWidth="1"/>
    <col min="131" max="131" width="15.44140625" bestFit="1" customWidth="1"/>
    <col min="132" max="132" width="13.88671875" customWidth="1"/>
    <col min="133" max="133" width="16.5546875" bestFit="1" customWidth="1"/>
    <col min="134" max="134" width="13.88671875" bestFit="1" customWidth="1"/>
    <col min="135" max="135" width="21.6640625" bestFit="1" customWidth="1"/>
    <col min="136" max="136" width="13.88671875" bestFit="1" customWidth="1"/>
    <col min="137" max="137" width="16.5546875" bestFit="1" customWidth="1"/>
    <col min="138" max="138" width="13.88671875" customWidth="1"/>
    <col min="139" max="139" width="16.5546875" bestFit="1" customWidth="1"/>
    <col min="140" max="140" width="10.88671875" customWidth="1"/>
    <col min="141" max="141" width="13.88671875" customWidth="1"/>
    <col min="142" max="142" width="10.88671875" customWidth="1"/>
    <col min="143" max="143" width="13.88671875" customWidth="1"/>
    <col min="144" max="144" width="8.109375" customWidth="1"/>
    <col min="145" max="145" width="11.109375" customWidth="1"/>
    <col min="146" max="146" width="12.5546875" customWidth="1"/>
    <col min="147" max="147" width="9.88671875" customWidth="1"/>
    <col min="148" max="148" width="12.88671875" bestFit="1" customWidth="1"/>
    <col min="149" max="149" width="9.88671875" customWidth="1"/>
    <col min="150" max="150" width="12.88671875" bestFit="1" customWidth="1"/>
    <col min="151" max="151" width="9.88671875" customWidth="1"/>
    <col min="152" max="153" width="6.88671875" customWidth="1"/>
    <col min="154" max="154" width="8.109375" customWidth="1"/>
    <col min="155" max="155" width="11.109375" customWidth="1"/>
    <col min="156" max="156" width="9.88671875" customWidth="1"/>
    <col min="157" max="158" width="7" customWidth="1"/>
    <col min="159" max="159" width="6.88671875" customWidth="1"/>
    <col min="160" max="160" width="9.88671875" customWidth="1"/>
    <col min="161" max="162" width="8.109375" customWidth="1"/>
    <col min="163" max="163" width="6.88671875" customWidth="1"/>
    <col min="164" max="164" width="11.109375" customWidth="1"/>
    <col min="165" max="165" width="12.5546875" bestFit="1" customWidth="1"/>
  </cols>
  <sheetData>
    <row r="3" spans="1:6">
      <c r="A3" s="3" t="s">
        <v>74</v>
      </c>
      <c r="B3" t="s">
        <v>550</v>
      </c>
      <c r="C3" t="s">
        <v>549</v>
      </c>
      <c r="D3" t="s">
        <v>76</v>
      </c>
      <c r="E3" s="1" t="s">
        <v>551</v>
      </c>
      <c r="F3" s="1" t="s">
        <v>388</v>
      </c>
    </row>
    <row r="4" spans="1:6">
      <c r="A4" s="4">
        <v>2010</v>
      </c>
      <c r="B4" s="399">
        <v>7486326</v>
      </c>
      <c r="C4" s="399">
        <v>4450.5199999999986</v>
      </c>
      <c r="D4" s="399">
        <v>57</v>
      </c>
      <c r="E4" s="404">
        <f>GETPIVOTDATA("Somme de PRP TTC  ",$A$3,"Prog",2010)/GETPIVOTDATA("Somme de SF priorisée",$A$3,"Prog",2010)</f>
        <v>1682.1238866469541</v>
      </c>
      <c r="F4" s="377">
        <f>GETPIVOTDATA("Somme de PRP TTC  ",$A$3,"Prog",2010)/GETPIVOTDATA("Somme de N",$A$3,"Prog",2010)</f>
        <v>131339.05263157896</v>
      </c>
    </row>
    <row r="5" spans="1:6">
      <c r="A5" s="4">
        <v>2011</v>
      </c>
      <c r="B5" s="399">
        <v>23826051.879999999</v>
      </c>
      <c r="C5" s="399">
        <v>11866.35</v>
      </c>
      <c r="D5" s="399">
        <v>134</v>
      </c>
      <c r="E5" s="404">
        <f>GETPIVOTDATA("Somme de PRP TTC  ",$A$3,"Prog",2011)/GETPIVOTDATA("Somme de SF priorisée",$A$3,"Prog",2011)</f>
        <v>2007.8669413930988</v>
      </c>
      <c r="F5" s="377">
        <f>GETPIVOTDATA("Somme de PRP TTC  ",$A$3,"Prog",2011)/GETPIVOTDATA("Somme de N",$A$3,"Prog",2011)</f>
        <v>177806.35731343282</v>
      </c>
    </row>
    <row r="6" spans="1:6">
      <c r="A6" s="4">
        <v>2012</v>
      </c>
      <c r="B6" s="399">
        <v>60685898.719999999</v>
      </c>
      <c r="C6" s="399">
        <v>29935.92500000001</v>
      </c>
      <c r="D6" s="399">
        <v>400</v>
      </c>
      <c r="E6" s="404">
        <f>GETPIVOTDATA("Somme de PRP TTC  ",$A$3,"Prog",2012)/GETPIVOTDATA("Somme de SF priorisée",$A$3,"Prog",2012)</f>
        <v>2027.1930371284661</v>
      </c>
      <c r="F6" s="377">
        <f>GETPIVOTDATA("Somme de PRP TTC  ",$A$3,"Prog",2012)/GETPIVOTDATA("Somme de N",$A$3,"Prog",2012)</f>
        <v>151714.74679999999</v>
      </c>
    </row>
    <row r="7" spans="1:6">
      <c r="A7" s="4">
        <v>2013</v>
      </c>
      <c r="B7" s="399">
        <v>71566207.530000001</v>
      </c>
      <c r="C7" s="399">
        <v>34406.463272727269</v>
      </c>
      <c r="D7" s="399">
        <v>403</v>
      </c>
      <c r="E7" s="404">
        <f>GETPIVOTDATA("Somme de PRP TTC  ",$A$3,"Prog",2013)/GETPIVOTDATA("Somme de SF priorisée",$A$3,"Prog",2013)</f>
        <v>2080.0222028844182</v>
      </c>
      <c r="F7" s="377">
        <f>GETPIVOTDATA("Somme de PRP TTC  ",$A$3,"Prog",2013)/GETPIVOTDATA("Somme de N",$A$3,"Prog",2013)</f>
        <v>177583.64151364766</v>
      </c>
    </row>
    <row r="8" spans="1:6">
      <c r="A8" s="4">
        <v>2014</v>
      </c>
      <c r="B8" s="399">
        <v>30744131.57635</v>
      </c>
      <c r="C8" s="399">
        <v>14652.554999999998</v>
      </c>
      <c r="D8" s="399">
        <v>173</v>
      </c>
      <c r="E8" s="404">
        <f>GETPIVOTDATA("Somme de PRP TTC  ",$A$3,"Prog",2014)/GETPIVOTDATA("Somme de SF priorisée",$A$3,"Prog",2014)</f>
        <v>2098.2096007385744</v>
      </c>
      <c r="F8" s="377">
        <f>GETPIVOTDATA("Somme de PRP TTC  ",$A$3,"Prog",2014)/GETPIVOTDATA("Somme de N",$A$3,"Prog",2014)</f>
        <v>177711.74321589596</v>
      </c>
    </row>
    <row r="9" spans="1:6">
      <c r="A9" s="4">
        <v>2015</v>
      </c>
      <c r="B9" s="399">
        <v>28638266.878515303</v>
      </c>
      <c r="C9" s="399">
        <v>15560.825000000001</v>
      </c>
      <c r="D9" s="399">
        <v>208</v>
      </c>
      <c r="E9" s="404">
        <f>GETPIVOTDATA("Somme de PRP TTC  ",$A$3,"Prog",2015)/GETPIVOTDATA("Somme de SF priorisée",$A$3,"Prog",2015)</f>
        <v>1840.4080039789214</v>
      </c>
      <c r="F9" s="377">
        <f>GETPIVOTDATA("Somme de PRP TTC  ",$A$3,"Prog",2015)/GETPIVOTDATA("Somme de N",$A$3,"Prog",2015)</f>
        <v>137683.97537747741</v>
      </c>
    </row>
    <row r="10" spans="1:6">
      <c r="A10" s="4">
        <v>2016</v>
      </c>
      <c r="B10" s="399">
        <v>41631464.304465018</v>
      </c>
      <c r="C10" s="399">
        <v>19683.620000000003</v>
      </c>
      <c r="D10" s="399">
        <v>273</v>
      </c>
      <c r="E10" s="404">
        <f>GETPIVOTDATA("Somme de PRP TTC  ",$A$3,"Prog",2016)/GETPIVOTDATA("Somme de SF priorisée",$A$3,"Prog",2016)</f>
        <v>2115.0308888540326</v>
      </c>
      <c r="F10" s="377">
        <f>GETPIVOTDATA("Somme de PRP TTC  ",$A$3,"Prog",2016)/GETPIVOTDATA("Somme de N",$A$3,"Prog",2016)</f>
        <v>152496.20624346161</v>
      </c>
    </row>
    <row r="11" spans="1:6">
      <c r="A11" s="4">
        <v>2017</v>
      </c>
      <c r="B11" s="399">
        <v>57400825.858934633</v>
      </c>
      <c r="C11" s="399">
        <v>20572.064999999999</v>
      </c>
      <c r="D11" s="399">
        <v>614</v>
      </c>
      <c r="E11" s="404">
        <f>GETPIVOTDATA("Somme de PRP TTC  ",$A$3,"Prog",2017)/GETPIVOTDATA("Somme de SF priorisée",$A$3,"Prog",2017)</f>
        <v>2790.2316009080582</v>
      </c>
      <c r="F11" s="377">
        <f>GETPIVOTDATA("Somme de PRP TTC  ",$A$3,"Prog",2017)/GETPIVOTDATA("Somme de N",$A$3,"Prog",2017)</f>
        <v>93486.68706666879</v>
      </c>
    </row>
    <row r="12" spans="1:6">
      <c r="A12" s="4">
        <v>2018</v>
      </c>
      <c r="B12" s="399">
        <v>45709853.43538776</v>
      </c>
      <c r="C12" s="399">
        <v>15876.48</v>
      </c>
      <c r="D12" s="399">
        <v>490</v>
      </c>
      <c r="E12" s="404">
        <f>GETPIVOTDATA("Somme de PRP TTC  ",$A$3,"Prog",2018)/GETPIVOTDATA("Somme de SF priorisée",$A$3,"Prog",2018)</f>
        <v>2879.0924332967861</v>
      </c>
      <c r="F12" s="377">
        <f>GETPIVOTDATA("Somme de PRP TTC  ",$A$3,"Prog",2018)/GETPIVOTDATA("Somme de N",$A$3,"Prog",2018)</f>
        <v>93285.415174260736</v>
      </c>
    </row>
    <row r="13" spans="1:6">
      <c r="A13" s="4">
        <v>2019</v>
      </c>
      <c r="B13" s="399">
        <v>45507423.521935388</v>
      </c>
      <c r="C13" s="399">
        <v>21451.289999999997</v>
      </c>
      <c r="D13" s="399">
        <v>260</v>
      </c>
      <c r="E13" s="404">
        <f>GETPIVOTDATA("Somme de PRP TTC  ",$A$3,"Prog",2019)/GETPIVOTDATA("Somme de SF priorisée",$A$3,"Prog",2019)</f>
        <v>2121.4306236098341</v>
      </c>
      <c r="F13" s="377">
        <f>GETPIVOTDATA("Somme de PRP TTC  ",$A$3,"Prog",2019)/GETPIVOTDATA("Somme de N",$A$3,"Prog",2019)</f>
        <v>175028.5520074438</v>
      </c>
    </row>
    <row r="14" spans="1:6">
      <c r="A14" s="4">
        <v>2020</v>
      </c>
      <c r="B14" s="399">
        <v>136431985.69305858</v>
      </c>
      <c r="C14" s="399">
        <v>53228.28</v>
      </c>
      <c r="D14" s="399">
        <v>937</v>
      </c>
      <c r="E14" s="404">
        <f>GETPIVOTDATA("Somme de PRP TTC  ",$A$3,"Prog",2021)/GETPIVOTDATA("Somme de SF priorisée",$A$3,"Prog",2021)</f>
        <v>2145.5063806479939</v>
      </c>
      <c r="F14" s="377">
        <f>GETPIVOTDATA("Somme de PRP TTC  ",$A$3,"Prog",2021)/GETPIVOTDATA("Somme de N",$A$3,"Prog",2021)</f>
        <v>82008.154619883047</v>
      </c>
    </row>
    <row r="15" spans="1:6">
      <c r="A15" s="4">
        <v>2021</v>
      </c>
      <c r="B15" s="399">
        <v>42070183.32</v>
      </c>
      <c r="C15" s="399">
        <v>19608.510000000002</v>
      </c>
      <c r="D15" s="399">
        <v>513</v>
      </c>
      <c r="E15" s="404"/>
      <c r="F15" s="377"/>
    </row>
    <row r="16" spans="1:6">
      <c r="A16" s="4">
        <v>2022</v>
      </c>
      <c r="B16" s="399">
        <v>0</v>
      </c>
      <c r="C16" s="399">
        <v>4050.5</v>
      </c>
      <c r="D16" s="399">
        <v>705</v>
      </c>
    </row>
    <row r="17" spans="1:4">
      <c r="A17" s="4">
        <v>2024</v>
      </c>
      <c r="B17" s="399">
        <v>0</v>
      </c>
      <c r="C17" s="399"/>
      <c r="D17" s="399">
        <v>78</v>
      </c>
    </row>
    <row r="18" spans="1:4">
      <c r="A18" s="4" t="s">
        <v>645</v>
      </c>
      <c r="B18" s="399">
        <v>0</v>
      </c>
      <c r="C18" s="399">
        <v>2777.37</v>
      </c>
      <c r="D18" s="399">
        <v>522</v>
      </c>
    </row>
    <row r="19" spans="1:4">
      <c r="A19" s="4" t="s">
        <v>457</v>
      </c>
      <c r="B19" s="399">
        <v>0</v>
      </c>
      <c r="C19" s="399"/>
      <c r="D19" s="399">
        <v>60</v>
      </c>
    </row>
    <row r="20" spans="1:4">
      <c r="A20" s="4" t="s">
        <v>75</v>
      </c>
      <c r="B20" s="399">
        <v>591698618.71864676</v>
      </c>
      <c r="C20" s="399">
        <v>268120.75327272731</v>
      </c>
      <c r="D20" s="399">
        <v>5827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39</vt:i4>
      </vt:variant>
    </vt:vector>
  </HeadingPairs>
  <TitlesOfParts>
    <vt:vector size="41" baseType="lpstr">
      <vt:lpstr>Données </vt:lpstr>
      <vt:lpstr>Structure PRP</vt:lpstr>
      <vt:lpstr>Annee_Inaug</vt:lpstr>
      <vt:lpstr>Annee_OS</vt:lpstr>
      <vt:lpstr>Arrêté_LBU</vt:lpstr>
      <vt:lpstr>Ass</vt:lpstr>
      <vt:lpstr>AUTRES_SUB</vt:lpstr>
      <vt:lpstr>Avancement</vt:lpstr>
      <vt:lpstr>CAF</vt:lpstr>
      <vt:lpstr>CDC_LLTS_foncier</vt:lpstr>
      <vt:lpstr>CI</vt:lpstr>
      <vt:lpstr>Dde_LBU</vt:lpstr>
      <vt:lpstr>Dde_prêt</vt:lpstr>
      <vt:lpstr>Délai_LBU</vt:lpstr>
      <vt:lpstr>Délai_prêt</vt:lpstr>
      <vt:lpstr>Ecart_DEAL_OS</vt:lpstr>
      <vt:lpstr>Fonds_propres</vt:lpstr>
      <vt:lpstr>'Données '!Impression_des_titres</vt:lpstr>
      <vt:lpstr>LBU_obtenue</vt:lpstr>
      <vt:lpstr>Livraison</vt:lpstr>
      <vt:lpstr>LLS</vt:lpstr>
      <vt:lpstr>LLTS</vt:lpstr>
      <vt:lpstr>'Données '!LMDom</vt:lpstr>
      <vt:lpstr>Loyers</vt:lpstr>
      <vt:lpstr>Nlgts</vt:lpstr>
      <vt:lpstr>Nlgts_hors_rehab</vt:lpstr>
      <vt:lpstr>OS</vt:lpstr>
      <vt:lpstr>PEEC</vt:lpstr>
      <vt:lpstr>PRET</vt:lpstr>
      <vt:lpstr>Prix_Achat_TTC</vt:lpstr>
      <vt:lpstr>Prog</vt:lpstr>
      <vt:lpstr>PRP</vt:lpstr>
      <vt:lpstr>Px_Foncier</vt:lpstr>
      <vt:lpstr>Retard_loyer</vt:lpstr>
      <vt:lpstr>RO</vt:lpstr>
      <vt:lpstr>S_TERRAIN</vt:lpstr>
      <vt:lpstr>SF</vt:lpstr>
      <vt:lpstr>SHAB_VEFA</vt:lpstr>
      <vt:lpstr>Type</vt:lpstr>
      <vt:lpstr>Ville</vt:lpstr>
      <vt:lpstr>'Données 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NBL</dc:creator>
  <cp:lastModifiedBy>Nathalie BLANDINO</cp:lastModifiedBy>
  <cp:lastPrinted>2020-04-11T11:37:22Z</cp:lastPrinted>
  <dcterms:created xsi:type="dcterms:W3CDTF">2012-11-19T18:43:46Z</dcterms:created>
  <dcterms:modified xsi:type="dcterms:W3CDTF">2020-04-29T11:20:53Z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icrosoft.ReportingServices.InteractiveReport.Excel.SheetName">
    <vt:i4>2</vt:i4>
  </property>
</Properties>
</file>